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240" yWindow="45" windowWidth="9885" windowHeight="13125" activeTab="0"/>
  </bookViews>
  <sheets>
    <sheet name="Eingabe" sheetId="1" r:id="rId1"/>
    <sheet name="14 Spieler" sheetId="2" r:id="rId2"/>
    <sheet name="Kreuztabelle 14" sheetId="3" r:id="rId3"/>
    <sheet name="Tabelle 14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'14 Spieler'!$A$1:$AG$52</definedName>
    <definedName name="_xlnm.Print_Area" localSheetId="2">'Kreuztabelle 14'!$A$2:$U$19</definedName>
    <definedName name="_xlnm.Print_Area" localSheetId="3">'Tabelle 14'!$A$1:$G$38</definedName>
    <definedName name="Makro10">[1]!Makro10</definedName>
    <definedName name="Makro12">[2]!Makro12</definedName>
    <definedName name="Makro8">[3]!Makro8</definedName>
  </definedNames>
  <calcPr fullCalcOnLoad="1"/>
</workbook>
</file>

<file path=xl/sharedStrings.xml><?xml version="1.0" encoding="utf-8"?>
<sst xmlns="http://schemas.openxmlformats.org/spreadsheetml/2006/main" count="463" uniqueCount="83">
  <si>
    <t xml:space="preserve">Eingabe Turnier </t>
  </si>
  <si>
    <t>:</t>
  </si>
  <si>
    <t>z. B. Monatsblitzturnier</t>
  </si>
  <si>
    <t>Spieler 1</t>
  </si>
  <si>
    <t>Spieler 11</t>
  </si>
  <si>
    <t>Spieler 2</t>
  </si>
  <si>
    <t>Spieler 12</t>
  </si>
  <si>
    <t>Spieler 3</t>
  </si>
  <si>
    <t>Spieler 13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</si>
  <si>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</si>
  <si>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</si>
  <si>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</si>
  <si>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</si>
  <si>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</si>
  <si>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</si>
  <si>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</si>
  <si>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>vom :</t>
  </si>
  <si>
    <t>1. Runde</t>
  </si>
  <si>
    <t>2. Runde</t>
  </si>
  <si>
    <t>3. Runde</t>
  </si>
  <si>
    <t>4. Runde</t>
  </si>
  <si>
    <t xml:space="preserve"> </t>
  </si>
  <si>
    <t>5. Runde</t>
  </si>
  <si>
    <t>6. Runde</t>
  </si>
  <si>
    <t>7. Runde</t>
  </si>
  <si>
    <t>8. Runde</t>
  </si>
  <si>
    <t>9. Runde</t>
  </si>
  <si>
    <t>10. Runde</t>
  </si>
  <si>
    <t>11. Runde</t>
  </si>
  <si>
    <t>12. Runde</t>
  </si>
  <si>
    <t>13. Runde</t>
  </si>
  <si>
    <t>Nr.</t>
  </si>
  <si>
    <t>Spieler</t>
  </si>
  <si>
    <t>Punkte</t>
  </si>
  <si>
    <t>Sonn/Berg</t>
  </si>
  <si>
    <t>Platz</t>
  </si>
  <si>
    <t>Tabelle</t>
  </si>
  <si>
    <t>Ergebnis</t>
  </si>
  <si>
    <t>Sitzplan der</t>
  </si>
  <si>
    <t>Runde</t>
  </si>
  <si>
    <t>Schwarz</t>
  </si>
  <si>
    <t>Weiß</t>
  </si>
  <si>
    <t>eine Runde vorgewählt werden.</t>
  </si>
  <si>
    <t xml:space="preserve">Im Feld "G1" kann im Tabellenblatt "14 Spieler" </t>
  </si>
  <si>
    <t>Rangfolge</t>
  </si>
  <si>
    <t>Datum</t>
  </si>
  <si>
    <t>??.??.????</t>
  </si>
  <si>
    <t xml:space="preserve">Die Paarungen entsprechen dem Sitzplan / die Farbverteilung für die einzelnen Runden wird nur oben angezeigt! </t>
  </si>
  <si>
    <t>J = Alterskonstante (bis 20 = 5; 21 bis 25 = 10; ab 26 = 15)</t>
  </si>
  <si>
    <t>Eingabe Daten</t>
  </si>
  <si>
    <t>Name</t>
  </si>
  <si>
    <t>J</t>
  </si>
  <si>
    <t>DWZ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</si>
  <si>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</si>
  <si>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</si>
  <si>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</si>
  <si>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</si>
  <si>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</si>
  <si>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</si>
  <si>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</si>
  <si>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 xml:space="preserve">DWZ der Gegner der </t>
  </si>
  <si>
    <t xml:space="preserve">Ergebnisse der </t>
  </si>
  <si>
    <t xml:space="preserve">Ergebnisse Spieler mit DWZ  </t>
  </si>
  <si>
    <t>Berechnung von p für jedes Spiel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</si>
  <si>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</si>
  <si>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</si>
  <si>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</si>
  <si>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</si>
  <si>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</si>
  <si>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</si>
  <si>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</si>
  <si>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</si>
  <si>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>DWZ Tabelle :-)</t>
  </si>
  <si>
    <t>DWZ neu</t>
  </si>
  <si>
    <t xml:space="preserve"> + / - </t>
  </si>
  <si>
    <t>Informationen:</t>
  </si>
  <si>
    <t>Wenn für J kein Wert eingetragen wird, wird dieser auf 15 gesetzt.</t>
  </si>
  <si>
    <t>Die DWZ Berechnung berücksichtigt nicht alle Bestimmungen!</t>
  </si>
  <si>
    <t>Es wird keine Gewähr übernommen, dass diese Tabelle fehlerfrei ist!</t>
  </si>
  <si>
    <t>Diese Tabelle ist für 13 oder 14 Spieler gemacht.</t>
  </si>
  <si>
    <r>
      <t xml:space="preserve">Bei nur 13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14 Spieler eingetragen werden!</t>
    </r>
  </si>
  <si>
    <t>Version 1.02</t>
  </si>
  <si>
    <t>Spieler / spielfrei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</si>
</sst>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2" borderId="17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  <xf numFmtId="172" fontId="1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4" fontId="6" fillId="0" borderId="0" xfId="0" applyNumberFormat="1" applyFont="1" applyBorder="1" applyAlignment="1">
      <alignment horizontal="centerContinuous" vertical="center"/>
    </xf>
    <xf numFmtId="14" fontId="10" fillId="0" borderId="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horizontal="centerContinuous"/>
    </xf>
    <xf numFmtId="0" fontId="0" fillId="0" borderId="16" xfId="0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2" fontId="1" fillId="0" borderId="4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5" fillId="3" borderId="2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21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31" xfId="0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73" fontId="0" fillId="0" borderId="31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7" fillId="3" borderId="0" xfId="0" applyFont="1" applyFill="1" applyAlignment="1">
      <alignment horizontal="left" vertical="top"/>
    </xf>
    <xf numFmtId="0" fontId="5" fillId="3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TSYS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UTSYS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D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0 Spieler"/>
      <sheetName val="Kreuztabelle 10"/>
      <sheetName val="Tabelle 10"/>
      <sheetName val="Modul 10"/>
    </sheetNames>
    <definedNames>
      <definedName name="Makro1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2 Spieler"/>
      <sheetName val="Kreuztabelle 12"/>
      <sheetName val="Tabelle 12"/>
      <sheetName val="Modul 12"/>
    </sheetNames>
    <definedNames>
      <definedName name="Makro1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  <sheetName val="Modul 8"/>
    </sheetNames>
    <definedNames>
      <definedName name="Makro8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0" max="26" width="12.7109375" style="0" customWidth="1"/>
  </cols>
  <sheetData>
    <row r="1" spans="1:26" ht="19.5" customHeight="1">
      <c r="A1" s="167" t="s">
        <v>81</v>
      </c>
      <c r="B1" s="171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71"/>
      <c r="D1" s="171"/>
      <c r="E1" s="171"/>
      <c r="F1" s="171"/>
      <c r="G1" s="171"/>
      <c r="H1" s="171"/>
      <c r="I1" s="171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24" customHeight="1">
      <c r="A2" s="107"/>
      <c r="B2" s="121"/>
      <c r="C2" s="172" t="s">
        <v>45</v>
      </c>
      <c r="D2" s="172"/>
      <c r="E2" s="172"/>
      <c r="F2" s="115" t="s">
        <v>1</v>
      </c>
      <c r="G2" s="173" t="s">
        <v>46</v>
      </c>
      <c r="H2" s="173"/>
      <c r="I2" s="173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24" customHeight="1">
      <c r="A3" s="106"/>
      <c r="B3" s="113"/>
      <c r="C3" s="168" t="s">
        <v>0</v>
      </c>
      <c r="D3" s="168"/>
      <c r="E3" s="168"/>
      <c r="F3" s="114" t="s">
        <v>1</v>
      </c>
      <c r="G3" s="169" t="s">
        <v>2</v>
      </c>
      <c r="H3" s="169"/>
      <c r="I3" s="169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4" customHeight="1">
      <c r="A4" s="106"/>
      <c r="B4" s="170" t="s">
        <v>49</v>
      </c>
      <c r="C4" s="170"/>
      <c r="D4" s="170"/>
      <c r="E4" s="170"/>
      <c r="F4" s="170"/>
      <c r="G4" s="170"/>
      <c r="H4" s="170"/>
      <c r="I4" s="17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24" customHeight="1" thickBot="1">
      <c r="A5" s="123"/>
      <c r="B5" s="117"/>
      <c r="C5" s="124" t="s">
        <v>50</v>
      </c>
      <c r="D5" s="125" t="s">
        <v>51</v>
      </c>
      <c r="E5" s="125" t="s">
        <v>52</v>
      </c>
      <c r="F5" s="118"/>
      <c r="G5" s="124" t="s">
        <v>50</v>
      </c>
      <c r="H5" s="125" t="s">
        <v>51</v>
      </c>
      <c r="I5" s="125" t="s">
        <v>52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24.75" customHeight="1">
      <c r="A6" s="106"/>
      <c r="B6" s="116">
        <v>1</v>
      </c>
      <c r="C6" s="126" t="s">
        <v>3</v>
      </c>
      <c r="D6" s="127"/>
      <c r="E6" s="128"/>
      <c r="F6" s="116">
        <v>11</v>
      </c>
      <c r="G6" s="126" t="s">
        <v>4</v>
      </c>
      <c r="H6" s="127"/>
      <c r="I6" s="128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24.75" customHeight="1">
      <c r="A7" s="106"/>
      <c r="B7" s="109">
        <v>2</v>
      </c>
      <c r="C7" s="129" t="s">
        <v>5</v>
      </c>
      <c r="D7" s="130"/>
      <c r="E7" s="131"/>
      <c r="F7" s="109">
        <v>12</v>
      </c>
      <c r="G7" s="129" t="s">
        <v>6</v>
      </c>
      <c r="H7" s="130"/>
      <c r="I7" s="131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24.75" customHeight="1">
      <c r="A8" s="106"/>
      <c r="B8" s="109">
        <v>3</v>
      </c>
      <c r="C8" s="129" t="s">
        <v>7</v>
      </c>
      <c r="D8" s="130"/>
      <c r="E8" s="131"/>
      <c r="F8" s="109">
        <v>13</v>
      </c>
      <c r="G8" s="129" t="s">
        <v>8</v>
      </c>
      <c r="H8" s="130"/>
      <c r="I8" s="131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24.75" customHeight="1">
      <c r="A9" s="106"/>
      <c r="B9" s="109">
        <v>4</v>
      </c>
      <c r="C9" s="129" t="s">
        <v>9</v>
      </c>
      <c r="D9" s="130"/>
      <c r="E9" s="131"/>
      <c r="F9" s="109">
        <v>14</v>
      </c>
      <c r="G9" s="129" t="s">
        <v>82</v>
      </c>
      <c r="H9" s="130"/>
      <c r="I9" s="131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24.75" customHeight="1">
      <c r="A10" s="106"/>
      <c r="B10" s="109">
        <v>5</v>
      </c>
      <c r="C10" s="129" t="s">
        <v>10</v>
      </c>
      <c r="D10" s="130"/>
      <c r="E10" s="131"/>
      <c r="F10" s="109"/>
      <c r="G10" s="132"/>
      <c r="H10" s="133"/>
      <c r="I10" s="110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24.75" customHeight="1">
      <c r="A11" s="106"/>
      <c r="B11" s="109">
        <v>6</v>
      </c>
      <c r="C11" s="129" t="s">
        <v>11</v>
      </c>
      <c r="D11" s="130"/>
      <c r="E11" s="131"/>
      <c r="F11" s="109"/>
      <c r="G11" s="132"/>
      <c r="H11" s="133"/>
      <c r="I11" s="110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24.75" customHeight="1">
      <c r="A12" s="106"/>
      <c r="B12" s="109">
        <v>7</v>
      </c>
      <c r="C12" s="129" t="s">
        <v>12</v>
      </c>
      <c r="D12" s="130"/>
      <c r="E12" s="131"/>
      <c r="F12" s="109"/>
      <c r="G12" s="132"/>
      <c r="H12" s="133"/>
      <c r="I12" s="110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24.75" customHeight="1">
      <c r="A13" s="106"/>
      <c r="B13" s="109">
        <v>8</v>
      </c>
      <c r="C13" s="129" t="s">
        <v>13</v>
      </c>
      <c r="D13" s="130"/>
      <c r="E13" s="131"/>
      <c r="F13" s="109"/>
      <c r="G13" s="132"/>
      <c r="H13" s="133"/>
      <c r="I13" s="110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24.75" customHeight="1">
      <c r="A14" s="106"/>
      <c r="B14" s="109">
        <v>9</v>
      </c>
      <c r="C14" s="129" t="s">
        <v>14</v>
      </c>
      <c r="D14" s="130"/>
      <c r="E14" s="131"/>
      <c r="F14" s="109"/>
      <c r="G14" s="132"/>
      <c r="H14" s="133"/>
      <c r="I14" s="110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24.75" customHeight="1" thickBot="1">
      <c r="A15" s="106"/>
      <c r="B15" s="111">
        <v>10</v>
      </c>
      <c r="C15" s="134" t="s">
        <v>15</v>
      </c>
      <c r="D15" s="135"/>
      <c r="E15" s="136"/>
      <c r="F15" s="111"/>
      <c r="G15" s="137"/>
      <c r="H15" s="138"/>
      <c r="I15" s="112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24.7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5" customHeight="1">
      <c r="A17" s="139"/>
      <c r="B17" s="108" t="s">
        <v>75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ht="15" customHeight="1">
      <c r="A18" s="139"/>
      <c r="B18" s="108" t="s">
        <v>79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ht="15" customHeight="1">
      <c r="A19" s="139"/>
      <c r="B19" s="108" t="s">
        <v>80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ht="1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5" customHeight="1">
      <c r="A21" s="106"/>
      <c r="B21" s="108" t="s">
        <v>43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15" customHeight="1">
      <c r="A22" s="106"/>
      <c r="B22" s="108" t="s">
        <v>42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1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5" customHeight="1">
      <c r="A24" s="106"/>
      <c r="B24" s="108" t="s">
        <v>48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5" customHeight="1">
      <c r="A25" s="106"/>
      <c r="B25" s="108" t="s">
        <v>76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15" customHeight="1">
      <c r="A26" s="106"/>
      <c r="B26" s="108" t="s">
        <v>77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6" ht="15" customHeight="1">
      <c r="A27" s="106"/>
      <c r="B27" s="108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spans="1:26" ht="15" customHeight="1">
      <c r="A28" s="106"/>
      <c r="B28" s="163" t="s">
        <v>78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ht="1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6" ht="1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1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ht="1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ht="1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ht="1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ht="1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1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1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ht="1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ht="1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6" ht="1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6" ht="1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:26" ht="1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26" ht="1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1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</sheetData>
  <mergeCells count="6">
    <mergeCell ref="C3:E3"/>
    <mergeCell ref="G3:I3"/>
    <mergeCell ref="B4:I4"/>
    <mergeCell ref="B1:I1"/>
    <mergeCell ref="C2:E2"/>
    <mergeCell ref="G2:I2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C97"/>
  <sheetViews>
    <sheetView zoomScale="90" zoomScaleNormal="90"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6" max="26" width="3.7109375" style="0" customWidth="1"/>
    <col min="27" max="27" width="13.7109375" style="0" customWidth="1"/>
    <col min="28" max="28" width="1.57421875" style="0" customWidth="1"/>
    <col min="29" max="29" width="2.7109375" style="0" customWidth="1"/>
    <col min="30" max="30" width="11.7109375" style="0" customWidth="1"/>
    <col min="31" max="31" width="4.140625" style="0" customWidth="1"/>
    <col min="32" max="32" width="1.57421875" style="0" customWidth="1"/>
    <col min="33" max="33" width="4.140625" style="0" customWidth="1"/>
    <col min="35" max="49" width="10.7109375" style="1" hidden="1" customWidth="1"/>
    <col min="50" max="55" width="4.7109375" style="1" hidden="1" customWidth="1"/>
  </cols>
  <sheetData>
    <row r="1" spans="2:34" ht="23.25">
      <c r="B1" s="177" t="s">
        <v>38</v>
      </c>
      <c r="C1" s="177"/>
      <c r="D1" s="178" t="str">
        <f>BC97&amp;"."</f>
        <v>1.</v>
      </c>
      <c r="E1" s="178"/>
      <c r="F1" s="89" t="s">
        <v>39</v>
      </c>
      <c r="G1" s="187"/>
      <c r="H1" s="186"/>
      <c r="I1" s="79"/>
      <c r="J1" s="79"/>
      <c r="K1" s="78" t="str">
        <f>Eingabe!$G$3</f>
        <v>z. B. Monatsblitzturnier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C1" s="33" t="s">
        <v>16</v>
      </c>
      <c r="AD1" s="86" t="str">
        <f>Eingabe!G2</f>
        <v>??.??.????</v>
      </c>
      <c r="AE1" s="12"/>
      <c r="AF1" s="14"/>
      <c r="AG1" s="14"/>
      <c r="AH1" s="14"/>
    </row>
    <row r="3" spans="2:33" ht="13.5" thickBot="1">
      <c r="B3" s="17" t="str">
        <f>AW7</f>
        <v>Spieler 1</v>
      </c>
      <c r="C3" s="12"/>
      <c r="D3" s="15"/>
      <c r="E3" s="12"/>
      <c r="F3" s="15" t="str">
        <f>AW8</f>
        <v>Spieler 2</v>
      </c>
      <c r="G3" s="15"/>
      <c r="H3" s="15"/>
      <c r="I3" s="15"/>
      <c r="J3" s="15" t="str">
        <f>AW9</f>
        <v>Spieler 3</v>
      </c>
      <c r="K3" s="12"/>
      <c r="L3" s="15"/>
      <c r="M3" s="12"/>
      <c r="N3" s="15" t="str">
        <f>AW10</f>
        <v>Spieler 4</v>
      </c>
      <c r="O3" s="15"/>
      <c r="P3" s="15"/>
      <c r="Q3" s="15"/>
      <c r="R3" s="15" t="str">
        <f>AW11</f>
        <v>Spieler 5</v>
      </c>
      <c r="S3" s="12"/>
      <c r="T3" s="15"/>
      <c r="U3" s="12"/>
      <c r="V3" s="15" t="str">
        <f>AW12</f>
        <v>Spieler 6</v>
      </c>
      <c r="W3" s="15"/>
      <c r="X3" s="15"/>
      <c r="Y3" s="15"/>
      <c r="Z3" s="15" t="str">
        <f>AW13</f>
        <v>Spieler 7</v>
      </c>
      <c r="AA3" s="12"/>
      <c r="AB3" s="15"/>
      <c r="AC3" s="17"/>
      <c r="AD3" s="67"/>
      <c r="AE3" s="17"/>
      <c r="AF3" s="17"/>
      <c r="AG3" s="17"/>
    </row>
    <row r="4" spans="2:53" ht="12.75">
      <c r="B4" s="174" t="str">
        <f>IF($B$7="spielfrei","",AW6)</f>
        <v>Weiß</v>
      </c>
      <c r="C4" s="175" t="str">
        <f>IF($F$7="spielfrei","","Tisch 1")</f>
        <v>Tisch 1</v>
      </c>
      <c r="D4" s="175" t="str">
        <f>IF($F$7="spielfrei","","Tisch 1")</f>
        <v>Tisch 1</v>
      </c>
      <c r="E4" s="176" t="str">
        <f>IF($F$7="spielfrei","","Tisch 1")</f>
        <v>Tisch 1</v>
      </c>
      <c r="F4" s="174" t="s">
        <v>40</v>
      </c>
      <c r="G4" s="175"/>
      <c r="H4" s="175"/>
      <c r="I4" s="176"/>
      <c r="J4" s="174" t="s">
        <v>41</v>
      </c>
      <c r="K4" s="175"/>
      <c r="L4" s="175"/>
      <c r="M4" s="176"/>
      <c r="N4" s="174" t="s">
        <v>40</v>
      </c>
      <c r="O4" s="175"/>
      <c r="P4" s="175"/>
      <c r="Q4" s="176"/>
      <c r="R4" s="174" t="s">
        <v>41</v>
      </c>
      <c r="S4" s="175"/>
      <c r="T4" s="175"/>
      <c r="U4" s="176"/>
      <c r="V4" s="174" t="s">
        <v>40</v>
      </c>
      <c r="W4" s="175"/>
      <c r="X4" s="175"/>
      <c r="Y4" s="176"/>
      <c r="Z4" s="174" t="s">
        <v>41</v>
      </c>
      <c r="AA4" s="175"/>
      <c r="AB4" s="175"/>
      <c r="AC4" s="176"/>
      <c r="AD4" s="68"/>
      <c r="AE4" s="2"/>
      <c r="AF4" s="2"/>
      <c r="AG4" s="2"/>
      <c r="AI4" s="1" t="s">
        <v>35</v>
      </c>
      <c r="AJ4" s="1" t="s">
        <v>17</v>
      </c>
      <c r="AK4" s="1" t="s">
        <v>18</v>
      </c>
      <c r="AL4" s="1" t="s">
        <v>19</v>
      </c>
      <c r="AM4" s="1" t="s">
        <v>20</v>
      </c>
      <c r="AN4" s="1" t="s">
        <v>22</v>
      </c>
      <c r="AO4" s="1" t="s">
        <v>23</v>
      </c>
      <c r="AP4" s="1" t="s">
        <v>24</v>
      </c>
      <c r="AQ4" s="1" t="s">
        <v>25</v>
      </c>
      <c r="AR4" s="1" t="s">
        <v>26</v>
      </c>
      <c r="AS4" s="1" t="s">
        <v>27</v>
      </c>
      <c r="AT4" s="1" t="s">
        <v>28</v>
      </c>
      <c r="AU4" s="1" t="s">
        <v>29</v>
      </c>
      <c r="AV4" s="1" t="s">
        <v>30</v>
      </c>
      <c r="AW4" s="1" t="s">
        <v>37</v>
      </c>
      <c r="AY4" s="1">
        <f>IF($E$12="spielfrei",COUNT($G$13:$G$18,$O$13:$O$18,$W$13:$W$18,$G$24:$G$29,$O$24:$O$29,$W$24:$W$29,$G$35:$G$40,$O$35:$O$40,$W$35:$W$40,$G$46:$G$51,$AE$13:$AE$18,$AE$24:$AE$29,$AE$35:$AE$40),-1)</f>
        <v>-1</v>
      </c>
      <c r="BA4" s="1">
        <f>IF($E$12="spielfrei",-1,COUNT($G$12:$G$18,$O$12:$O$18,$W$12:$W$18,$G$23:$G$29,$O$23:$O$29,$W$23:$W$29,$G$34:$G$40,$O$34:$O$40,$W$34:$W$40,$G$45:$G$51,$AE$12:$AE$18,$AE$23:$AE$29,$AE$34:$AE$40))</f>
        <v>0</v>
      </c>
    </row>
    <row r="5" spans="2:55" ht="12.75">
      <c r="B5" s="69" t="str">
        <f>IF($B$7="spielfrei","","Tisch 1")</f>
        <v>Tisch 1</v>
      </c>
      <c r="C5" s="70"/>
      <c r="D5" s="70"/>
      <c r="E5" s="71"/>
      <c r="F5" s="69" t="str">
        <f>IF($B$7="spielfrei","Tisch 1","Tisch 2")</f>
        <v>Tisch 2</v>
      </c>
      <c r="G5" s="16"/>
      <c r="H5" s="32"/>
      <c r="I5" s="87"/>
      <c r="J5" s="69" t="str">
        <f>IF($B$7="spielfrei","Tisch 2","Tisch 3")</f>
        <v>Tisch 3</v>
      </c>
      <c r="K5" s="70"/>
      <c r="L5" s="70"/>
      <c r="M5" s="71"/>
      <c r="N5" s="69" t="str">
        <f>IF($B$7="spielfrei","Tisch 3","Tisch 4")</f>
        <v>Tisch 4</v>
      </c>
      <c r="O5" s="16"/>
      <c r="P5" s="32"/>
      <c r="Q5" s="88"/>
      <c r="R5" s="69" t="str">
        <f>IF($B$7="spielfrei","Tisch 4","Tisch 5")</f>
        <v>Tisch 5</v>
      </c>
      <c r="S5" s="16"/>
      <c r="T5" s="32"/>
      <c r="U5" s="88"/>
      <c r="V5" s="69" t="str">
        <f>IF($B$7="spielfrei","Tisch 5","Tisch 6")</f>
        <v>Tisch 6</v>
      </c>
      <c r="W5" s="16"/>
      <c r="X5" s="32"/>
      <c r="Y5" s="88"/>
      <c r="Z5" s="69" t="str">
        <f>IF($B$7="spielfrei","Tisch 6","Tisch 7")</f>
        <v>Tisch 7</v>
      </c>
      <c r="AA5" s="16"/>
      <c r="AB5" s="32"/>
      <c r="AC5" s="88"/>
      <c r="AD5" s="67"/>
      <c r="AE5" s="17"/>
      <c r="AF5" s="17"/>
      <c r="AG5" s="16"/>
      <c r="AY5" s="1">
        <f>IF($AY$4=BC5,AZ5,0)</f>
        <v>0</v>
      </c>
      <c r="AZ5" s="1">
        <v>1</v>
      </c>
      <c r="BA5" s="1">
        <f>IF($BA$4=BC5,BB5,0)</f>
        <v>1</v>
      </c>
      <c r="BB5" s="1">
        <v>1</v>
      </c>
      <c r="BC5" s="1">
        <v>0</v>
      </c>
    </row>
    <row r="6" spans="2:55" ht="13.5" thickBot="1">
      <c r="B6" s="180" t="str">
        <f>IF($B$7="spielfrei","",IF(B4="Weiß","Schwarz",IF(B4="Schwarz","Weiß")))</f>
        <v>Schwarz</v>
      </c>
      <c r="C6" s="181"/>
      <c r="D6" s="181"/>
      <c r="E6" s="182"/>
      <c r="F6" s="180" t="s">
        <v>41</v>
      </c>
      <c r="G6" s="181"/>
      <c r="H6" s="181"/>
      <c r="I6" s="182"/>
      <c r="J6" s="180" t="s">
        <v>40</v>
      </c>
      <c r="K6" s="181"/>
      <c r="L6" s="181"/>
      <c r="M6" s="182"/>
      <c r="N6" s="180" t="s">
        <v>41</v>
      </c>
      <c r="O6" s="181"/>
      <c r="P6" s="181"/>
      <c r="Q6" s="182"/>
      <c r="R6" s="180" t="s">
        <v>40</v>
      </c>
      <c r="S6" s="181"/>
      <c r="T6" s="181"/>
      <c r="U6" s="182"/>
      <c r="V6" s="180" t="s">
        <v>41</v>
      </c>
      <c r="W6" s="181"/>
      <c r="X6" s="181"/>
      <c r="Y6" s="182"/>
      <c r="Z6" s="180" t="s">
        <v>40</v>
      </c>
      <c r="AA6" s="181"/>
      <c r="AB6" s="181"/>
      <c r="AC6" s="182"/>
      <c r="AD6" s="68"/>
      <c r="AE6" s="2"/>
      <c r="AF6" s="2"/>
      <c r="AG6" s="2"/>
      <c r="AJ6" s="1" t="str">
        <f>IF($BC$97=1,"Weiß","")</f>
        <v>Weiß</v>
      </c>
      <c r="AK6" s="1">
        <f>IF($BC$97=2,"Schwarz","")</f>
      </c>
      <c r="AL6" s="1">
        <f>IF($BC$97=3,"Weiß","")</f>
      </c>
      <c r="AM6" s="1">
        <f>IF($BC$97=4,"Schwarz","")</f>
      </c>
      <c r="AN6" s="1">
        <f>IF($BC$97=5,"Weiß","")</f>
      </c>
      <c r="AO6" s="1">
        <f>IF($BC$97=6,"Schwarz","")</f>
      </c>
      <c r="AP6" s="1">
        <f>IF($BC$97=7,"Weiß","")</f>
      </c>
      <c r="AQ6" s="1">
        <f>IF($BC$97=8,"Schwarz","")</f>
      </c>
      <c r="AR6" s="1">
        <f>IF($BC$97=9,"Weiß","")</f>
      </c>
      <c r="AS6" s="1">
        <f>IF($BC$97=10,"Schwarz","")</f>
      </c>
      <c r="AT6" s="1">
        <f>IF($BC$97=11,"Weiß","")</f>
      </c>
      <c r="AU6" s="1">
        <f>IF($BC$97=12,"Schwarz","")</f>
      </c>
      <c r="AV6" s="1">
        <f>IF($BC$97=13,"Weiß","")</f>
      </c>
      <c r="AW6" s="1" t="str">
        <f>AJ6&amp;AK6&amp;AL6&amp;AM6&amp;AN6&amp;AO6&amp;AP6&amp;AQ6&amp;AR6&amp;AS6&amp;AT6&amp;AU6&amp;AV6</f>
        <v>Weiß</v>
      </c>
      <c r="AY6" s="1">
        <f aca="true" t="shared" si="0" ref="AY6:AY69">IF($AY$4=BC6,AZ6,0)</f>
        <v>0</v>
      </c>
      <c r="AZ6" s="1">
        <v>1</v>
      </c>
      <c r="BA6" s="1">
        <f aca="true" t="shared" si="1" ref="BA6:BA69">IF($BA$4=BC6,BB6,0)</f>
        <v>0</v>
      </c>
      <c r="BB6" s="1">
        <v>1</v>
      </c>
      <c r="BC6" s="1">
        <v>1</v>
      </c>
    </row>
    <row r="7" spans="2:55" ht="12.75">
      <c r="B7" s="15" t="str">
        <f>AW20</f>
        <v>Spieler / spielfrei</v>
      </c>
      <c r="C7" s="12"/>
      <c r="D7" s="12"/>
      <c r="E7" s="12"/>
      <c r="F7" s="15" t="str">
        <f>AW19</f>
        <v>Spieler 13</v>
      </c>
      <c r="G7" s="15"/>
      <c r="H7" s="15"/>
      <c r="I7" s="12"/>
      <c r="J7" s="15" t="str">
        <f>AW18</f>
        <v>Spieler 12</v>
      </c>
      <c r="K7" s="12"/>
      <c r="L7" s="12"/>
      <c r="M7" s="12"/>
      <c r="N7" s="15" t="str">
        <f>AW17</f>
        <v>Spieler 11</v>
      </c>
      <c r="O7" s="15"/>
      <c r="P7" s="15"/>
      <c r="Q7" s="12"/>
      <c r="R7" s="15" t="str">
        <f>AW16</f>
        <v>Spieler 10</v>
      </c>
      <c r="S7" s="12"/>
      <c r="T7" s="12"/>
      <c r="U7" s="12"/>
      <c r="V7" s="15" t="str">
        <f>AW15</f>
        <v>Spieler 9</v>
      </c>
      <c r="W7" s="15"/>
      <c r="X7" s="15"/>
      <c r="Y7" s="12"/>
      <c r="Z7" s="15" t="str">
        <f>AW14</f>
        <v>Spieler 8</v>
      </c>
      <c r="AA7" s="12"/>
      <c r="AB7" s="12"/>
      <c r="AC7" s="17"/>
      <c r="AD7" s="67"/>
      <c r="AE7" s="17"/>
      <c r="AF7" s="17"/>
      <c r="AG7" s="16"/>
      <c r="AI7" s="1">
        <v>1</v>
      </c>
      <c r="AJ7" s="1" t="str">
        <f>IF($BC$97=1,Eingabe!$C$6,"")</f>
        <v>Spieler 1</v>
      </c>
      <c r="AK7" s="1">
        <f>IF($BC$97=2,Eingabe!$G$8,"")</f>
      </c>
      <c r="AL7" s="1">
        <f>IF($BC$97=3,Eingabe!$G$7,"")</f>
      </c>
      <c r="AM7" s="1">
        <f>IF($BC$97=4,Eingabe!$G$6,"")</f>
      </c>
      <c r="AN7" s="1">
        <f>IF($BC$97=5,Eingabe!$C$15,"")</f>
      </c>
      <c r="AO7" s="1">
        <f>IF($BC$97=6,Eingabe!$C$14,"")</f>
      </c>
      <c r="AP7" s="1">
        <f>IF($BC$97=7,Eingabe!$C$13,"")</f>
      </c>
      <c r="AQ7" s="1">
        <f>IF($BC$97=8,Eingabe!$C$12,"")</f>
      </c>
      <c r="AR7" s="1">
        <f>IF($BC$97=9,Eingabe!$C$11,"")</f>
      </c>
      <c r="AS7" s="1">
        <f>IF($BC$97=10,Eingabe!$C$10,"")</f>
      </c>
      <c r="AT7" s="1">
        <f>IF($BC$97=11,Eingabe!$C$9,"")</f>
      </c>
      <c r="AU7" s="1">
        <f>IF($BC$97=12,Eingabe!$C$8,"")</f>
      </c>
      <c r="AV7" s="1">
        <f>IF($BC$97=13,Eingabe!$C$7,"")</f>
      </c>
      <c r="AW7" s="1" t="str">
        <f aca="true" t="shared" si="2" ref="AW7:AW20">AJ7&amp;AK7&amp;AL7&amp;AM7&amp;AN7&amp;AO7&amp;AP7&amp;AQ7&amp;AR7&amp;AS7&amp;AT7&amp;AU7&amp;AV7</f>
        <v>Spieler 1</v>
      </c>
      <c r="AY7" s="1">
        <f t="shared" si="0"/>
        <v>0</v>
      </c>
      <c r="AZ7" s="1">
        <v>1</v>
      </c>
      <c r="BA7" s="1">
        <f t="shared" si="1"/>
        <v>0</v>
      </c>
      <c r="BB7" s="1">
        <v>1</v>
      </c>
      <c r="BC7" s="1">
        <v>2</v>
      </c>
    </row>
    <row r="8" spans="2:55" ht="12.75">
      <c r="B8" s="179" t="s">
        <v>47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I8" s="1">
        <v>2</v>
      </c>
      <c r="AJ8" s="1" t="str">
        <f>IF($BC$97=1,Eingabe!$C$7,"")</f>
        <v>Spieler 2</v>
      </c>
      <c r="AK8" s="1">
        <f>IF($BC$97=2,Eingabe!$C$6,"")</f>
      </c>
      <c r="AL8" s="1">
        <f>IF($BC$97=3,Eingabe!$G$8,"")</f>
      </c>
      <c r="AM8" s="1">
        <f>IF($BC$97=4,Eingabe!$G$7,"")</f>
      </c>
      <c r="AN8" s="1">
        <f>IF($BC$97=5,Eingabe!$G$6,"")</f>
      </c>
      <c r="AO8" s="1">
        <f>IF($BC$97=6,Eingabe!$C$15,"")</f>
      </c>
      <c r="AP8" s="1">
        <f>IF($BC$97=7,Eingabe!$C$14,"")</f>
      </c>
      <c r="AQ8" s="1">
        <f>IF($BC$97=8,Eingabe!$C$13,"")</f>
      </c>
      <c r="AR8" s="1">
        <f>IF($BC$97=9,Eingabe!$C$12,"")</f>
      </c>
      <c r="AS8" s="1">
        <f>IF($BC$97=10,Eingabe!$C$11,"")</f>
      </c>
      <c r="AT8" s="1">
        <f>IF($BC$97=11,Eingabe!$C$10,"")</f>
      </c>
      <c r="AU8" s="1">
        <f>IF($BC$97=12,Eingabe!$C$9,"")</f>
      </c>
      <c r="AV8" s="1">
        <f>IF($BC$97=13,Eingabe!$C$8,"")</f>
      </c>
      <c r="AW8" s="1" t="str">
        <f t="shared" si="2"/>
        <v>Spieler 2</v>
      </c>
      <c r="AY8" s="1">
        <f t="shared" si="0"/>
        <v>0</v>
      </c>
      <c r="AZ8" s="1">
        <v>1</v>
      </c>
      <c r="BA8" s="1">
        <f t="shared" si="1"/>
        <v>0</v>
      </c>
      <c r="BB8" s="1">
        <v>1</v>
      </c>
      <c r="BC8" s="1">
        <v>3</v>
      </c>
    </row>
    <row r="9" spans="1:55" ht="12.7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I9" s="1">
        <v>3</v>
      </c>
      <c r="AJ9" s="1" t="str">
        <f>IF($BC$97=1,Eingabe!$C$8,"")</f>
        <v>Spieler 3</v>
      </c>
      <c r="AK9" s="1">
        <f>IF($BC$97=2,Eingabe!$C$7,"")</f>
      </c>
      <c r="AL9" s="1">
        <f>IF($BC$97=3,Eingabe!$C$6,"")</f>
      </c>
      <c r="AM9" s="1">
        <f>IF($BC$97=4,Eingabe!$G$8,"")</f>
      </c>
      <c r="AN9" s="1">
        <f>IF($BC$97=5,Eingabe!$G$7,"")</f>
      </c>
      <c r="AO9" s="1">
        <f>IF($BC$97=6,Eingabe!$G$6,"")</f>
      </c>
      <c r="AP9" s="1">
        <f>IF($BC$97=7,Eingabe!$C$15,"")</f>
      </c>
      <c r="AQ9" s="1">
        <f>IF($BC$97=8,Eingabe!$C$14,"")</f>
      </c>
      <c r="AR9" s="1">
        <f>IF($BC$97=9,Eingabe!$C$13,"")</f>
      </c>
      <c r="AS9" s="1">
        <f>IF($BC$97=10,Eingabe!$C$12,"")</f>
      </c>
      <c r="AT9" s="1">
        <f>IF($BC$97=11,Eingabe!$C$11,"")</f>
      </c>
      <c r="AU9" s="1">
        <f>IF($BC$97=12,Eingabe!$C$10,"")</f>
      </c>
      <c r="AV9" s="1">
        <f>IF($BC$97=13,Eingabe!$C$9,"")</f>
      </c>
      <c r="AW9" s="1" t="str">
        <f t="shared" si="2"/>
        <v>Spieler 3</v>
      </c>
      <c r="AY9" s="1">
        <f t="shared" si="0"/>
        <v>0</v>
      </c>
      <c r="AZ9" s="1">
        <v>1</v>
      </c>
      <c r="BA9" s="1">
        <f t="shared" si="1"/>
        <v>0</v>
      </c>
      <c r="BB9" s="1">
        <v>1</v>
      </c>
      <c r="BC9" s="1">
        <v>4</v>
      </c>
    </row>
    <row r="10" spans="4:55" ht="12.75">
      <c r="D10" s="11" t="s">
        <v>17</v>
      </c>
      <c r="L10" s="11" t="s">
        <v>18</v>
      </c>
      <c r="T10" s="11" t="s">
        <v>19</v>
      </c>
      <c r="AB10" s="11" t="s">
        <v>20</v>
      </c>
      <c r="AI10" s="1">
        <v>4</v>
      </c>
      <c r="AJ10" s="1" t="str">
        <f>IF($BC$97=1,Eingabe!$C$9,"")</f>
        <v>Spieler 4</v>
      </c>
      <c r="AK10" s="1">
        <f>IF($BC$97=2,Eingabe!$C$8,"")</f>
      </c>
      <c r="AL10" s="1">
        <f>IF($BC$97=3,Eingabe!$C$7,"")</f>
      </c>
      <c r="AM10" s="1">
        <f>IF($BC$97=4,Eingabe!$C$6,"")</f>
      </c>
      <c r="AN10" s="1">
        <f>IF($BC$97=5,Eingabe!$G$8,"")</f>
      </c>
      <c r="AO10" s="1">
        <f>IF($BC$97=6,Eingabe!$G$7,"")</f>
      </c>
      <c r="AP10" s="1">
        <f>IF($BC$97=7,Eingabe!$G$6,"")</f>
      </c>
      <c r="AQ10" s="1">
        <f>IF($BC$97=8,Eingabe!$C$15,"")</f>
      </c>
      <c r="AR10" s="1">
        <f>IF($BC$97=9,Eingabe!$C$14,"")</f>
      </c>
      <c r="AS10" s="1">
        <f>IF($BC$97=10,Eingabe!$C$13,"")</f>
      </c>
      <c r="AT10" s="1">
        <f>IF($BC$97=11,Eingabe!$C$12,"")</f>
      </c>
      <c r="AU10" s="1">
        <f>IF($BC$97=12,Eingabe!$C$11,"")</f>
      </c>
      <c r="AV10" s="1">
        <f>IF($BC$97=13,Eingabe!$C$10,"")</f>
      </c>
      <c r="AW10" s="1" t="str">
        <f t="shared" si="2"/>
        <v>Spieler 4</v>
      </c>
      <c r="AY10" s="1">
        <f t="shared" si="0"/>
        <v>0</v>
      </c>
      <c r="AZ10" s="1">
        <v>1</v>
      </c>
      <c r="BA10" s="1">
        <f t="shared" si="1"/>
        <v>0</v>
      </c>
      <c r="BB10" s="1">
        <v>1</v>
      </c>
      <c r="BC10" s="1">
        <v>5</v>
      </c>
    </row>
    <row r="11" spans="3:55" ht="6" customHeight="1">
      <c r="C11" s="11"/>
      <c r="K11" s="11"/>
      <c r="O11" t="s">
        <v>21</v>
      </c>
      <c r="S11" s="11"/>
      <c r="AA11" s="11"/>
      <c r="AE11" t="s">
        <v>21</v>
      </c>
      <c r="AI11" s="1">
        <v>5</v>
      </c>
      <c r="AJ11" s="1" t="str">
        <f>IF($BC$97=1,Eingabe!$C$10,"")</f>
        <v>Spieler 5</v>
      </c>
      <c r="AK11" s="1">
        <f>IF($BC$97=2,Eingabe!$C$9,"")</f>
      </c>
      <c r="AL11" s="1">
        <f>IF($BC$97=3,Eingabe!$C$8,"")</f>
      </c>
      <c r="AM11" s="1">
        <f>IF($BC$97=4,Eingabe!$C$7,"")</f>
      </c>
      <c r="AN11" s="1">
        <f>IF($BC$97=5,Eingabe!$C$6,"")</f>
      </c>
      <c r="AO11" s="1">
        <f>IF($BC$97=6,Eingabe!$G$8,"")</f>
      </c>
      <c r="AP11" s="1">
        <f>IF($BC$97=7,Eingabe!$G$7,"")</f>
      </c>
      <c r="AQ11" s="1">
        <f>IF($BC$97=8,Eingabe!$G$6,"")</f>
      </c>
      <c r="AR11" s="1">
        <f>IF($BC$97=9,Eingabe!$C$15,"")</f>
      </c>
      <c r="AS11" s="1">
        <f>IF($BC$97=10,Eingabe!$C$14,"")</f>
      </c>
      <c r="AT11" s="1">
        <f>IF($BC$97=11,Eingabe!$C$13,"")</f>
      </c>
      <c r="AU11" s="1">
        <f>IF($BC$97=12,Eingabe!$C$12,"")</f>
      </c>
      <c r="AV11" s="1">
        <f>IF($BC$97=13,Eingabe!$C$11,"")</f>
      </c>
      <c r="AW11" s="1" t="str">
        <f t="shared" si="2"/>
        <v>Spieler 5</v>
      </c>
      <c r="AY11" s="1">
        <f t="shared" si="0"/>
        <v>0</v>
      </c>
      <c r="AZ11" s="1">
        <v>2</v>
      </c>
      <c r="BA11" s="1">
        <f t="shared" si="1"/>
        <v>0</v>
      </c>
      <c r="BB11" s="1">
        <v>1</v>
      </c>
      <c r="BC11" s="1">
        <v>6</v>
      </c>
    </row>
    <row r="12" spans="1:55" ht="12.75">
      <c r="A12" t="str">
        <f>IF(Eingabe!$G$9="spielfrei","","Tisch 1 :")</f>
        <v>Tisch 1 :</v>
      </c>
      <c r="C12" s="14" t="str">
        <f>Eingabe!$C$6</f>
        <v>Spieler 1</v>
      </c>
      <c r="D12" s="1" t="s">
        <v>1</v>
      </c>
      <c r="E12" s="14" t="str">
        <f>Eingabe!$G$9</f>
        <v>Spieler / spielfrei</v>
      </c>
      <c r="F12" s="14"/>
      <c r="G12" s="1" t="s">
        <v>21</v>
      </c>
      <c r="H12" s="1" t="str">
        <f>IF($B$7="spielfrei"," ",":")</f>
        <v>:</v>
      </c>
      <c r="I12" s="5" t="str">
        <f aca="true" t="shared" si="3" ref="I12:I18">IF(G12&lt;=1,1-G12," ")</f>
        <v> </v>
      </c>
      <c r="J12" s="3"/>
      <c r="K12" s="14" t="str">
        <f>Eingabe!$G$8</f>
        <v>Spieler 13</v>
      </c>
      <c r="L12" s="1" t="s">
        <v>1</v>
      </c>
      <c r="M12" s="14" t="str">
        <f>Eingabe!$G$9</f>
        <v>Spieler / spielfrei</v>
      </c>
      <c r="N12" s="14"/>
      <c r="O12" s="1" t="s">
        <v>21</v>
      </c>
      <c r="P12" s="1" t="str">
        <f>IF($B$7="spielfrei"," ",":")</f>
        <v>:</v>
      </c>
      <c r="Q12" s="5" t="str">
        <f aca="true" t="shared" si="4" ref="Q12:Q18">IF(O12&lt;=1,1-O12," ")</f>
        <v> </v>
      </c>
      <c r="R12" s="3"/>
      <c r="S12" s="14" t="str">
        <f>Eingabe!$G$7</f>
        <v>Spieler 12</v>
      </c>
      <c r="T12" s="1" t="s">
        <v>1</v>
      </c>
      <c r="U12" s="14" t="str">
        <f>Eingabe!$G$9</f>
        <v>Spieler / spielfrei</v>
      </c>
      <c r="V12" s="14"/>
      <c r="W12" s="1" t="s">
        <v>21</v>
      </c>
      <c r="X12" s="1" t="str">
        <f>IF($B$7="spielfrei"," ",":")</f>
        <v>:</v>
      </c>
      <c r="Y12" s="5" t="str">
        <f aca="true" t="shared" si="5" ref="Y12:Y18">IF(W12&lt;=1,1-W12," ")</f>
        <v> </v>
      </c>
      <c r="Z12" s="3"/>
      <c r="AA12" s="14" t="str">
        <f>Eingabe!$G$6</f>
        <v>Spieler 11</v>
      </c>
      <c r="AB12" s="1" t="s">
        <v>1</v>
      </c>
      <c r="AC12" s="14" t="str">
        <f>Eingabe!$G$9</f>
        <v>Spieler / spielfrei</v>
      </c>
      <c r="AD12" s="14"/>
      <c r="AE12" s="1" t="s">
        <v>21</v>
      </c>
      <c r="AF12" s="1" t="str">
        <f>IF($B$7="spielfrei"," ",":")</f>
        <v>:</v>
      </c>
      <c r="AG12" s="3" t="str">
        <f aca="true" t="shared" si="6" ref="AG12:AG18">IF(AE12&lt;=1,1-AE12," ")</f>
        <v> </v>
      </c>
      <c r="AH12" s="2"/>
      <c r="AI12" s="1">
        <v>6</v>
      </c>
      <c r="AJ12" s="1" t="str">
        <f>IF($BC$97=1,Eingabe!$C$11,"")</f>
        <v>Spieler 6</v>
      </c>
      <c r="AK12" s="1">
        <f>IF($BC$97=2,Eingabe!$C$10,"")</f>
      </c>
      <c r="AL12" s="1">
        <f>IF($BC$97=3,Eingabe!$C$9,"")</f>
      </c>
      <c r="AM12" s="1">
        <f>IF($BC$97=4,Eingabe!$C$8,"")</f>
      </c>
      <c r="AN12" s="1">
        <f>IF($BC$97=5,Eingabe!$C$7,"")</f>
      </c>
      <c r="AO12" s="1">
        <f>IF($BC$97=6,Eingabe!$C$6,"")</f>
      </c>
      <c r="AP12" s="1">
        <f>IF($BC$97=7,Eingabe!$G$8,"")</f>
      </c>
      <c r="AQ12" s="1">
        <f>IF($BC$97=8,Eingabe!$G$7,"")</f>
      </c>
      <c r="AR12" s="1">
        <f>IF($BC$97=9,Eingabe!$G$6,"")</f>
      </c>
      <c r="AS12" s="1">
        <f>IF($BC$97=10,Eingabe!$C$15,"")</f>
      </c>
      <c r="AT12" s="1">
        <f>IF($BC$97=11,Eingabe!$C$14,"")</f>
      </c>
      <c r="AU12" s="1">
        <f>IF($BC$97=12,Eingabe!$C$13,"")</f>
      </c>
      <c r="AV12" s="1">
        <f>IF($BC$97=13,Eingabe!$C$12,"")</f>
      </c>
      <c r="AW12" s="1" t="str">
        <f t="shared" si="2"/>
        <v>Spieler 6</v>
      </c>
      <c r="AY12" s="1">
        <f t="shared" si="0"/>
        <v>0</v>
      </c>
      <c r="AZ12" s="1">
        <v>2</v>
      </c>
      <c r="BA12" s="1">
        <f t="shared" si="1"/>
        <v>0</v>
      </c>
      <c r="BB12" s="1">
        <v>2</v>
      </c>
      <c r="BC12" s="1">
        <v>7</v>
      </c>
    </row>
    <row r="13" spans="1:55" ht="12.75">
      <c r="A13" t="str">
        <f>IF(Eingabe!$G$9="spielfrei","Tisch 1 :","Tisch 2 :")</f>
        <v>Tisch 2 :</v>
      </c>
      <c r="C13" s="14" t="str">
        <f>Eingabe!$G$8</f>
        <v>Spieler 13</v>
      </c>
      <c r="D13" s="1" t="s">
        <v>1</v>
      </c>
      <c r="E13" s="14" t="str">
        <f>Eingabe!$C$7</f>
        <v>Spieler 2</v>
      </c>
      <c r="F13" s="14"/>
      <c r="G13" s="1" t="s">
        <v>21</v>
      </c>
      <c r="H13" s="1" t="s">
        <v>1</v>
      </c>
      <c r="I13" s="5" t="str">
        <f t="shared" si="3"/>
        <v> </v>
      </c>
      <c r="J13" s="3"/>
      <c r="K13" s="14" t="str">
        <f>Eingabe!$G$7</f>
        <v>Spieler 12</v>
      </c>
      <c r="L13" s="1" t="s">
        <v>1</v>
      </c>
      <c r="M13" s="14" t="str">
        <f>Eingabe!$C$6</f>
        <v>Spieler 1</v>
      </c>
      <c r="N13" s="14"/>
      <c r="O13" s="1" t="s">
        <v>21</v>
      </c>
      <c r="P13" s="1" t="s">
        <v>1</v>
      </c>
      <c r="Q13" s="5" t="str">
        <f t="shared" si="4"/>
        <v> </v>
      </c>
      <c r="R13" s="3"/>
      <c r="S13" s="14" t="str">
        <f>Eingabe!$G$6</f>
        <v>Spieler 11</v>
      </c>
      <c r="T13" s="1" t="s">
        <v>1</v>
      </c>
      <c r="U13" s="14" t="str">
        <f>Eingabe!$G$8</f>
        <v>Spieler 13</v>
      </c>
      <c r="V13" s="14"/>
      <c r="W13" s="1" t="s">
        <v>21</v>
      </c>
      <c r="X13" s="1" t="s">
        <v>1</v>
      </c>
      <c r="Y13" s="5" t="str">
        <f t="shared" si="5"/>
        <v> </v>
      </c>
      <c r="Z13" s="3"/>
      <c r="AA13" s="14" t="str">
        <f>Eingabe!$C$15</f>
        <v>Spieler 10</v>
      </c>
      <c r="AB13" s="1" t="s">
        <v>1</v>
      </c>
      <c r="AC13" s="14" t="str">
        <f>Eingabe!$G$7</f>
        <v>Spieler 12</v>
      </c>
      <c r="AD13" s="14"/>
      <c r="AE13" s="1" t="s">
        <v>21</v>
      </c>
      <c r="AF13" s="1" t="s">
        <v>1</v>
      </c>
      <c r="AG13" s="3" t="str">
        <f t="shared" si="6"/>
        <v> </v>
      </c>
      <c r="AH13" s="2"/>
      <c r="AI13" s="1">
        <v>7</v>
      </c>
      <c r="AJ13" s="1" t="str">
        <f>IF($BC$97=1,Eingabe!$C$12,"")</f>
        <v>Spieler 7</v>
      </c>
      <c r="AK13" s="1">
        <f>IF($BC$97=2,Eingabe!$C$11,"")</f>
      </c>
      <c r="AL13" s="1">
        <f>IF($BC$97=3,Eingabe!$C$10,"")</f>
      </c>
      <c r="AM13" s="1">
        <f>IF($BC$97=4,Eingabe!$C$9,"")</f>
      </c>
      <c r="AN13" s="1">
        <f>IF($BC$97=5,Eingabe!$C$8,"")</f>
      </c>
      <c r="AO13" s="1">
        <f>IF($BC$97=6,Eingabe!$C$7,"")</f>
      </c>
      <c r="AP13" s="1">
        <f>IF($BC$97=7,Eingabe!$C$6,"")</f>
      </c>
      <c r="AQ13" s="1">
        <f>IF($BC$97=8,Eingabe!$G$8,"")</f>
      </c>
      <c r="AR13" s="1">
        <f>IF($BC$97=9,Eingabe!$G$7,"")</f>
      </c>
      <c r="AS13" s="1">
        <f>IF($BC$97=10,Eingabe!$G$6,"")</f>
      </c>
      <c r="AT13" s="1">
        <f>IF($BC$97=11,Eingabe!$C$15,"")</f>
      </c>
      <c r="AU13" s="1">
        <f>IF($BC$97=12,Eingabe!$C$14,"")</f>
      </c>
      <c r="AV13" s="1">
        <f>IF($BC$97=13,Eingabe!$C$13,"")</f>
      </c>
      <c r="AW13" s="1" t="str">
        <f t="shared" si="2"/>
        <v>Spieler 7</v>
      </c>
      <c r="AY13" s="1">
        <f t="shared" si="0"/>
        <v>0</v>
      </c>
      <c r="AZ13" s="1">
        <v>2</v>
      </c>
      <c r="BA13" s="1">
        <f t="shared" si="1"/>
        <v>0</v>
      </c>
      <c r="BB13" s="1">
        <v>2</v>
      </c>
      <c r="BC13" s="1">
        <v>8</v>
      </c>
    </row>
    <row r="14" spans="1:55" ht="12.75">
      <c r="A14" t="str">
        <f>IF(Eingabe!$G$9="spielfrei","Tisch 2 :","Tisch 3 :")</f>
        <v>Tisch 3 :</v>
      </c>
      <c r="C14" s="14" t="str">
        <f>Eingabe!$G$7</f>
        <v>Spieler 12</v>
      </c>
      <c r="D14" s="1" t="s">
        <v>1</v>
      </c>
      <c r="E14" s="14" t="str">
        <f>Eingabe!$C$8</f>
        <v>Spieler 3</v>
      </c>
      <c r="F14" s="14"/>
      <c r="G14" s="1" t="s">
        <v>21</v>
      </c>
      <c r="H14" s="1" t="s">
        <v>1</v>
      </c>
      <c r="I14" s="5" t="str">
        <f t="shared" si="3"/>
        <v> </v>
      </c>
      <c r="J14" s="3"/>
      <c r="K14" s="14" t="str">
        <f>Eingabe!$G$6</f>
        <v>Spieler 11</v>
      </c>
      <c r="L14" s="1" t="s">
        <v>1</v>
      </c>
      <c r="M14" s="14" t="str">
        <f>Eingabe!$C$7</f>
        <v>Spieler 2</v>
      </c>
      <c r="N14" s="14"/>
      <c r="O14" s="1" t="s">
        <v>21</v>
      </c>
      <c r="P14" s="1" t="s">
        <v>1</v>
      </c>
      <c r="Q14" s="5" t="str">
        <f t="shared" si="4"/>
        <v> </v>
      </c>
      <c r="R14" s="3"/>
      <c r="S14" s="14" t="str">
        <f>Eingabe!$C$15</f>
        <v>Spieler 10</v>
      </c>
      <c r="T14" s="1" t="s">
        <v>1</v>
      </c>
      <c r="U14" s="14" t="str">
        <f>Eingabe!$C$6</f>
        <v>Spieler 1</v>
      </c>
      <c r="V14" s="14"/>
      <c r="W14" s="1" t="s">
        <v>21</v>
      </c>
      <c r="X14" s="1" t="s">
        <v>1</v>
      </c>
      <c r="Y14" s="5" t="str">
        <f t="shared" si="5"/>
        <v> </v>
      </c>
      <c r="Z14" s="3"/>
      <c r="AA14" s="14" t="str">
        <f>Eingabe!$C$14</f>
        <v>Spieler 9</v>
      </c>
      <c r="AB14" s="1" t="s">
        <v>1</v>
      </c>
      <c r="AC14" s="14" t="str">
        <f>Eingabe!$G$8</f>
        <v>Spieler 13</v>
      </c>
      <c r="AD14" s="14"/>
      <c r="AE14" s="1" t="s">
        <v>21</v>
      </c>
      <c r="AF14" s="1" t="s">
        <v>1</v>
      </c>
      <c r="AG14" s="3" t="str">
        <f t="shared" si="6"/>
        <v> </v>
      </c>
      <c r="AH14" s="2"/>
      <c r="AI14" s="1">
        <v>8</v>
      </c>
      <c r="AJ14" s="1" t="str">
        <f>IF($BC$97=1,Eingabe!$C$13,"")</f>
        <v>Spieler 8</v>
      </c>
      <c r="AK14" s="1">
        <f>IF($BC$97=2,Eingabe!$C$12,"")</f>
      </c>
      <c r="AL14" s="1">
        <f>IF($BC$97=3,Eingabe!$C$11,"")</f>
      </c>
      <c r="AM14" s="1">
        <f>IF($BC$97=4,Eingabe!$C$10,"")</f>
      </c>
      <c r="AN14" s="1">
        <f>IF($BC$97=5,Eingabe!$C$9,"")</f>
      </c>
      <c r="AO14" s="1">
        <f>IF($BC$97=6,Eingabe!$C$8,"")</f>
      </c>
      <c r="AP14" s="1">
        <f>IF($BC$97=7,Eingabe!$C$7,"")</f>
      </c>
      <c r="AQ14" s="1">
        <f>IF($BC$97=8,Eingabe!$C$6,"")</f>
      </c>
      <c r="AR14" s="1">
        <f>IF($BC$97=9,Eingabe!$G$8,"")</f>
      </c>
      <c r="AS14" s="1">
        <f>IF($BC$97=10,Eingabe!$G$7,"")</f>
      </c>
      <c r="AT14" s="1">
        <f>IF($BC$97=11,Eingabe!$G$6,"")</f>
      </c>
      <c r="AU14" s="1">
        <f>IF($BC$97=12,Eingabe!$C$15,"")</f>
      </c>
      <c r="AV14" s="1">
        <f>IF($BC$97=13,Eingabe!$C$14,"")</f>
      </c>
      <c r="AW14" s="1" t="str">
        <f t="shared" si="2"/>
        <v>Spieler 8</v>
      </c>
      <c r="AY14" s="1">
        <f t="shared" si="0"/>
        <v>0</v>
      </c>
      <c r="AZ14" s="1">
        <v>2</v>
      </c>
      <c r="BA14" s="1">
        <f t="shared" si="1"/>
        <v>0</v>
      </c>
      <c r="BB14" s="1">
        <v>2</v>
      </c>
      <c r="BC14" s="1">
        <v>9</v>
      </c>
    </row>
    <row r="15" spans="1:55" ht="12.75">
      <c r="A15" t="str">
        <f>IF(Eingabe!$G$9="spielfrei","Tisch 3 :","Tisch 4 :")</f>
        <v>Tisch 4 :</v>
      </c>
      <c r="C15" s="14" t="str">
        <f>Eingabe!$G$6</f>
        <v>Spieler 11</v>
      </c>
      <c r="D15" s="1" t="s">
        <v>1</v>
      </c>
      <c r="E15" s="14" t="str">
        <f>Eingabe!$C$9</f>
        <v>Spieler 4</v>
      </c>
      <c r="F15" s="14"/>
      <c r="G15" s="1" t="s">
        <v>21</v>
      </c>
      <c r="H15" s="1" t="s">
        <v>1</v>
      </c>
      <c r="I15" s="5" t="str">
        <f t="shared" si="3"/>
        <v> </v>
      </c>
      <c r="J15" s="3"/>
      <c r="K15" s="14" t="str">
        <f>Eingabe!$C$15</f>
        <v>Spieler 10</v>
      </c>
      <c r="L15" s="1" t="s">
        <v>1</v>
      </c>
      <c r="M15" s="14" t="str">
        <f>Eingabe!$C$8</f>
        <v>Spieler 3</v>
      </c>
      <c r="N15" s="14"/>
      <c r="O15" s="1" t="s">
        <v>21</v>
      </c>
      <c r="P15" s="1" t="s">
        <v>1</v>
      </c>
      <c r="Q15" s="5" t="str">
        <f t="shared" si="4"/>
        <v> </v>
      </c>
      <c r="R15" s="3"/>
      <c r="S15" s="14" t="str">
        <f>Eingabe!$C$14</f>
        <v>Spieler 9</v>
      </c>
      <c r="T15" s="1" t="s">
        <v>1</v>
      </c>
      <c r="U15" s="14" t="str">
        <f>Eingabe!$C$7</f>
        <v>Spieler 2</v>
      </c>
      <c r="V15" s="14"/>
      <c r="W15" s="1" t="s">
        <v>21</v>
      </c>
      <c r="X15" s="1" t="s">
        <v>1</v>
      </c>
      <c r="Y15" s="5" t="str">
        <f t="shared" si="5"/>
        <v> </v>
      </c>
      <c r="Z15" s="3"/>
      <c r="AA15" s="14" t="str">
        <f>Eingabe!$C$13</f>
        <v>Spieler 8</v>
      </c>
      <c r="AB15" s="1" t="s">
        <v>1</v>
      </c>
      <c r="AC15" s="14" t="str">
        <f>Eingabe!$C$6</f>
        <v>Spieler 1</v>
      </c>
      <c r="AD15" s="14"/>
      <c r="AE15" s="1" t="s">
        <v>21</v>
      </c>
      <c r="AF15" s="1" t="s">
        <v>1</v>
      </c>
      <c r="AG15" s="3" t="str">
        <f t="shared" si="6"/>
        <v> </v>
      </c>
      <c r="AH15" s="2"/>
      <c r="AI15" s="1">
        <v>9</v>
      </c>
      <c r="AJ15" s="1" t="str">
        <f>IF($BC$97=1,Eingabe!$C$14,"")</f>
        <v>Spieler 9</v>
      </c>
      <c r="AK15" s="1">
        <f>IF($BC$97=2,Eingabe!$C$13,"")</f>
      </c>
      <c r="AL15" s="1">
        <f>IF($BC$97=3,Eingabe!$C$12,"")</f>
      </c>
      <c r="AM15" s="1">
        <f>IF($BC$97=4,Eingabe!$C$11,"")</f>
      </c>
      <c r="AN15" s="1">
        <f>IF($BC$97=5,Eingabe!$C$10,"")</f>
      </c>
      <c r="AO15" s="1">
        <f>IF($BC$97=6,Eingabe!$C$9,"")</f>
      </c>
      <c r="AP15" s="1">
        <f>IF($BC$97=7,Eingabe!$C$8,"")</f>
      </c>
      <c r="AQ15" s="1">
        <f>IF($BC$97=8,Eingabe!$C$7,"")</f>
      </c>
      <c r="AR15" s="1">
        <f>IF($BC$97=9,Eingabe!$C$6,"")</f>
      </c>
      <c r="AS15" s="1">
        <f>IF($BC$97=10,Eingabe!$G$8,"")</f>
      </c>
      <c r="AT15" s="1">
        <f>IF($BC$97=11,Eingabe!$G$7,"")</f>
      </c>
      <c r="AU15" s="1">
        <f>IF($BC$97=12,Eingabe!$G$6,"")</f>
      </c>
      <c r="AV15" s="1">
        <f>IF($BC$97=13,Eingabe!$C$15,"")</f>
      </c>
      <c r="AW15" s="1" t="str">
        <f t="shared" si="2"/>
        <v>Spieler 9</v>
      </c>
      <c r="AY15" s="1">
        <f t="shared" si="0"/>
        <v>0</v>
      </c>
      <c r="AZ15" s="1">
        <v>2</v>
      </c>
      <c r="BA15" s="1">
        <f t="shared" si="1"/>
        <v>0</v>
      </c>
      <c r="BB15" s="1">
        <v>2</v>
      </c>
      <c r="BC15" s="1">
        <v>10</v>
      </c>
    </row>
    <row r="16" spans="1:55" ht="12.75">
      <c r="A16" t="str">
        <f>IF(Eingabe!$G$9="spielfrei","Tisch 4 :","Tisch 5 :")</f>
        <v>Tisch 5 :</v>
      </c>
      <c r="C16" s="14" t="str">
        <f>Eingabe!$C$15</f>
        <v>Spieler 10</v>
      </c>
      <c r="D16" s="1" t="s">
        <v>1</v>
      </c>
      <c r="E16" s="14" t="str">
        <f>Eingabe!$C$10</f>
        <v>Spieler 5</v>
      </c>
      <c r="F16" s="14"/>
      <c r="G16" s="1" t="s">
        <v>21</v>
      </c>
      <c r="H16" s="1" t="s">
        <v>1</v>
      </c>
      <c r="I16" s="5" t="str">
        <f t="shared" si="3"/>
        <v> </v>
      </c>
      <c r="J16" s="3"/>
      <c r="K16" s="14" t="str">
        <f>Eingabe!$C$14</f>
        <v>Spieler 9</v>
      </c>
      <c r="L16" s="1" t="s">
        <v>1</v>
      </c>
      <c r="M16" s="14" t="str">
        <f>Eingabe!$C$9</f>
        <v>Spieler 4</v>
      </c>
      <c r="N16" s="14"/>
      <c r="O16" s="1" t="s">
        <v>21</v>
      </c>
      <c r="P16" s="1" t="s">
        <v>1</v>
      </c>
      <c r="Q16" s="5" t="str">
        <f t="shared" si="4"/>
        <v> </v>
      </c>
      <c r="R16" s="3"/>
      <c r="S16" s="14" t="str">
        <f>Eingabe!$C$13</f>
        <v>Spieler 8</v>
      </c>
      <c r="T16" s="1" t="s">
        <v>1</v>
      </c>
      <c r="U16" s="14" t="str">
        <f>Eingabe!$C$8</f>
        <v>Spieler 3</v>
      </c>
      <c r="V16" s="14"/>
      <c r="W16" s="1" t="s">
        <v>21</v>
      </c>
      <c r="X16" s="1" t="s">
        <v>1</v>
      </c>
      <c r="Y16" s="5" t="str">
        <f t="shared" si="5"/>
        <v> </v>
      </c>
      <c r="Z16" s="3"/>
      <c r="AA16" s="14" t="str">
        <f>Eingabe!$C$12</f>
        <v>Spieler 7</v>
      </c>
      <c r="AB16" s="1" t="s">
        <v>1</v>
      </c>
      <c r="AC16" s="14" t="str">
        <f>Eingabe!$C$7</f>
        <v>Spieler 2</v>
      </c>
      <c r="AD16" s="14"/>
      <c r="AE16" s="1" t="s">
        <v>21</v>
      </c>
      <c r="AF16" s="1" t="s">
        <v>1</v>
      </c>
      <c r="AG16" s="3" t="str">
        <f t="shared" si="6"/>
        <v> </v>
      </c>
      <c r="AH16" s="2"/>
      <c r="AI16" s="1">
        <v>10</v>
      </c>
      <c r="AJ16" s="1" t="str">
        <f>IF($BC$97=1,Eingabe!$C$15,"")</f>
        <v>Spieler 10</v>
      </c>
      <c r="AK16" s="1">
        <f>IF($BC$97=2,Eingabe!$C$14,"")</f>
      </c>
      <c r="AL16" s="1">
        <f>IF($BC$97=3,Eingabe!$C$13,"")</f>
      </c>
      <c r="AM16" s="1">
        <f>IF($BC$97=4,Eingabe!$C$12,"")</f>
      </c>
      <c r="AN16" s="1">
        <f>IF($BC$97=5,Eingabe!$C$11,"")</f>
      </c>
      <c r="AO16" s="1">
        <f>IF($BC$97=6,Eingabe!$C$10,"")</f>
      </c>
      <c r="AP16" s="1">
        <f>IF($BC$97=7,Eingabe!$C$9,"")</f>
      </c>
      <c r="AQ16" s="1">
        <f>IF($BC$97=8,Eingabe!$C$8,"")</f>
      </c>
      <c r="AR16" s="1">
        <f>IF($BC$97=9,Eingabe!$C$7,"")</f>
      </c>
      <c r="AS16" s="1">
        <f>IF($BC$97=10,Eingabe!$C$6,"")</f>
      </c>
      <c r="AT16" s="1">
        <f>IF($BC$97=11,Eingabe!$G$8,"")</f>
      </c>
      <c r="AU16" s="1">
        <f>IF($BC$97=12,Eingabe!$G$7,"")</f>
      </c>
      <c r="AV16" s="1">
        <f>IF($BC$97=13,Eingabe!$G$6,"")</f>
      </c>
      <c r="AW16" s="1" t="str">
        <f t="shared" si="2"/>
        <v>Spieler 10</v>
      </c>
      <c r="AY16" s="1">
        <f t="shared" si="0"/>
        <v>0</v>
      </c>
      <c r="AZ16" s="1">
        <v>2</v>
      </c>
      <c r="BA16" s="1">
        <f t="shared" si="1"/>
        <v>0</v>
      </c>
      <c r="BB16" s="1">
        <v>2</v>
      </c>
      <c r="BC16" s="1">
        <v>11</v>
      </c>
    </row>
    <row r="17" spans="1:55" ht="12.75">
      <c r="A17" t="str">
        <f>IF(Eingabe!$G$9="spielfrei","Tisch 5 :","Tisch 6 :")</f>
        <v>Tisch 6 :</v>
      </c>
      <c r="C17" s="14" t="str">
        <f>Eingabe!$C$14</f>
        <v>Spieler 9</v>
      </c>
      <c r="D17" s="1" t="s">
        <v>1</v>
      </c>
      <c r="E17" s="14" t="str">
        <f>Eingabe!$C$11</f>
        <v>Spieler 6</v>
      </c>
      <c r="F17" s="14"/>
      <c r="G17" s="1" t="s">
        <v>21</v>
      </c>
      <c r="H17" s="1" t="s">
        <v>1</v>
      </c>
      <c r="I17" s="5" t="str">
        <f t="shared" si="3"/>
        <v> </v>
      </c>
      <c r="J17" s="3"/>
      <c r="K17" s="14" t="str">
        <f>Eingabe!$C$13</f>
        <v>Spieler 8</v>
      </c>
      <c r="L17" s="1" t="s">
        <v>1</v>
      </c>
      <c r="M17" s="14" t="str">
        <f>Eingabe!$C$10</f>
        <v>Spieler 5</v>
      </c>
      <c r="N17" s="14"/>
      <c r="O17" s="1" t="s">
        <v>21</v>
      </c>
      <c r="P17" s="1" t="s">
        <v>1</v>
      </c>
      <c r="Q17" s="5" t="str">
        <f t="shared" si="4"/>
        <v> </v>
      </c>
      <c r="R17" s="3"/>
      <c r="S17" s="14" t="str">
        <f>Eingabe!$C$12</f>
        <v>Spieler 7</v>
      </c>
      <c r="T17" s="1" t="s">
        <v>1</v>
      </c>
      <c r="U17" s="14" t="str">
        <f>Eingabe!$C$9</f>
        <v>Spieler 4</v>
      </c>
      <c r="V17" s="14"/>
      <c r="W17" s="1" t="s">
        <v>21</v>
      </c>
      <c r="X17" s="1" t="s">
        <v>1</v>
      </c>
      <c r="Y17" s="5" t="str">
        <f t="shared" si="5"/>
        <v> </v>
      </c>
      <c r="Z17" s="3"/>
      <c r="AA17" s="14" t="str">
        <f>Eingabe!$C$11</f>
        <v>Spieler 6</v>
      </c>
      <c r="AB17" s="1" t="s">
        <v>1</v>
      </c>
      <c r="AC17" s="14" t="str">
        <f>Eingabe!$C$8</f>
        <v>Spieler 3</v>
      </c>
      <c r="AD17" s="14"/>
      <c r="AE17" s="1" t="s">
        <v>21</v>
      </c>
      <c r="AF17" s="1" t="s">
        <v>1</v>
      </c>
      <c r="AG17" s="3" t="str">
        <f t="shared" si="6"/>
        <v> </v>
      </c>
      <c r="AH17" s="2"/>
      <c r="AI17" s="1">
        <v>11</v>
      </c>
      <c r="AJ17" s="1" t="str">
        <f>IF($BC$97=1,Eingabe!$G$6,"")</f>
        <v>Spieler 11</v>
      </c>
      <c r="AK17" s="1">
        <f>IF($BC$97=2,Eingabe!$C$15,"")</f>
      </c>
      <c r="AL17" s="1">
        <f>IF($BC$97=3,Eingabe!$C$14,"")</f>
      </c>
      <c r="AM17" s="1">
        <f>IF($BC$97=4,Eingabe!$C$13,"")</f>
      </c>
      <c r="AN17" s="1">
        <f>IF($BC$97=5,Eingabe!$C$12,"")</f>
      </c>
      <c r="AO17" s="1">
        <f>IF($BC$97=6,Eingabe!$C$11,"")</f>
      </c>
      <c r="AP17" s="1">
        <f>IF($BC$97=7,Eingabe!$C$10,"")</f>
      </c>
      <c r="AQ17" s="1">
        <f>IF($BC$97=8,Eingabe!$C$9,"")</f>
      </c>
      <c r="AR17" s="1">
        <f>IF($BC$97=9,Eingabe!$C$8,"")</f>
      </c>
      <c r="AS17" s="1">
        <f>IF($BC$97=10,Eingabe!$C$7,"")</f>
      </c>
      <c r="AT17" s="1">
        <f>IF($BC$97=11,Eingabe!$C$6,"")</f>
      </c>
      <c r="AU17" s="1">
        <f>IF($BC$97=12,Eingabe!$G$8,"")</f>
      </c>
      <c r="AV17" s="1">
        <f>IF($BC$97=13,Eingabe!$G$7,"")</f>
      </c>
      <c r="AW17" s="1" t="str">
        <f t="shared" si="2"/>
        <v>Spieler 11</v>
      </c>
      <c r="AY17" s="1">
        <f t="shared" si="0"/>
        <v>0</v>
      </c>
      <c r="AZ17" s="1">
        <v>3</v>
      </c>
      <c r="BA17" s="1">
        <f t="shared" si="1"/>
        <v>0</v>
      </c>
      <c r="BB17" s="1">
        <v>2</v>
      </c>
      <c r="BC17" s="1">
        <v>12</v>
      </c>
    </row>
    <row r="18" spans="1:55" ht="12.75">
      <c r="A18" t="str">
        <f>IF(Eingabe!$G$9="spielfrei","Tisch 6 :","Tisch 7 :")</f>
        <v>Tisch 7 :</v>
      </c>
      <c r="C18" s="14" t="str">
        <f>Eingabe!$C$13</f>
        <v>Spieler 8</v>
      </c>
      <c r="D18" s="1" t="s">
        <v>1</v>
      </c>
      <c r="E18" s="14" t="str">
        <f>Eingabe!$C$12</f>
        <v>Spieler 7</v>
      </c>
      <c r="F18" s="14"/>
      <c r="G18" s="1" t="s">
        <v>21</v>
      </c>
      <c r="H18" s="1" t="s">
        <v>1</v>
      </c>
      <c r="I18" s="5" t="str">
        <f t="shared" si="3"/>
        <v> </v>
      </c>
      <c r="J18" s="3"/>
      <c r="K18" s="14" t="str">
        <f>Eingabe!$C$12</f>
        <v>Spieler 7</v>
      </c>
      <c r="L18" s="1" t="s">
        <v>1</v>
      </c>
      <c r="M18" s="14" t="str">
        <f>Eingabe!$C$11</f>
        <v>Spieler 6</v>
      </c>
      <c r="N18" s="14"/>
      <c r="O18" s="1" t="s">
        <v>21</v>
      </c>
      <c r="P18" s="1" t="s">
        <v>1</v>
      </c>
      <c r="Q18" s="5" t="str">
        <f t="shared" si="4"/>
        <v> </v>
      </c>
      <c r="R18" s="3"/>
      <c r="S18" s="14" t="str">
        <f>Eingabe!$C$11</f>
        <v>Spieler 6</v>
      </c>
      <c r="T18" s="1" t="s">
        <v>1</v>
      </c>
      <c r="U18" s="14" t="str">
        <f>Eingabe!$C$10</f>
        <v>Spieler 5</v>
      </c>
      <c r="V18" s="14"/>
      <c r="W18" s="1" t="s">
        <v>21</v>
      </c>
      <c r="X18" s="1" t="s">
        <v>1</v>
      </c>
      <c r="Y18" s="5" t="str">
        <f t="shared" si="5"/>
        <v> </v>
      </c>
      <c r="Z18" s="3"/>
      <c r="AA18" s="14" t="str">
        <f>Eingabe!$C$10</f>
        <v>Spieler 5</v>
      </c>
      <c r="AB18" s="1" t="s">
        <v>1</v>
      </c>
      <c r="AC18" s="14" t="str">
        <f>Eingabe!$C$9</f>
        <v>Spieler 4</v>
      </c>
      <c r="AD18" s="14"/>
      <c r="AE18" s="1" t="s">
        <v>21</v>
      </c>
      <c r="AF18" s="1" t="s">
        <v>1</v>
      </c>
      <c r="AG18" s="3" t="str">
        <f t="shared" si="6"/>
        <v> </v>
      </c>
      <c r="AH18" s="2"/>
      <c r="AI18" s="1">
        <v>12</v>
      </c>
      <c r="AJ18" s="1" t="str">
        <f>IF($BC$97=1,Eingabe!$G$7,"")</f>
        <v>Spieler 12</v>
      </c>
      <c r="AK18" s="1">
        <f>IF($BC$97=2,Eingabe!$G$6,"")</f>
      </c>
      <c r="AL18" s="1">
        <f>IF($BC$97=3,Eingabe!$C$15,"")</f>
      </c>
      <c r="AM18" s="1">
        <f>IF($BC$97=4,Eingabe!$C$14,"")</f>
      </c>
      <c r="AN18" s="1">
        <f>IF($BC$97=5,Eingabe!$C$13,"")</f>
      </c>
      <c r="AO18" s="1">
        <f>IF($BC$97=6,Eingabe!$C$12,"")</f>
      </c>
      <c r="AP18" s="1">
        <f>IF($BC$97=7,Eingabe!$C$11,"")</f>
      </c>
      <c r="AQ18" s="1">
        <f>IF($BC$97=8,Eingabe!$C$10,"")</f>
      </c>
      <c r="AR18" s="1">
        <f>IF($BC$97=9,Eingabe!$C$9,"")</f>
      </c>
      <c r="AS18" s="1">
        <f>IF($BC$97=10,Eingabe!$C$8,"")</f>
      </c>
      <c r="AT18" s="1">
        <f>IF($BC$97=11,Eingabe!$C$7,"")</f>
      </c>
      <c r="AU18" s="1">
        <f>IF($BC$97=12,Eingabe!$C$6,"")</f>
      </c>
      <c r="AV18" s="1">
        <f>IF($BC$97=13,Eingabe!$G$8,"")</f>
      </c>
      <c r="AW18" s="1" t="str">
        <f t="shared" si="2"/>
        <v>Spieler 12</v>
      </c>
      <c r="AY18" s="1">
        <f t="shared" si="0"/>
        <v>0</v>
      </c>
      <c r="AZ18" s="1">
        <v>3</v>
      </c>
      <c r="BA18" s="1">
        <f t="shared" si="1"/>
        <v>0</v>
      </c>
      <c r="BB18" s="1">
        <v>2</v>
      </c>
      <c r="BC18" s="1">
        <v>13</v>
      </c>
    </row>
    <row r="19" spans="3:55" ht="12.75">
      <c r="C19" s="13"/>
      <c r="D19" s="1"/>
      <c r="E19" s="14"/>
      <c r="F19" s="14"/>
      <c r="G19" s="14"/>
      <c r="H19" s="1"/>
      <c r="I19" s="155"/>
      <c r="J19" s="2"/>
      <c r="K19" s="13"/>
      <c r="L19" s="1"/>
      <c r="M19" s="14"/>
      <c r="N19" s="68"/>
      <c r="O19" s="68"/>
      <c r="P19" s="3"/>
      <c r="Q19" s="155"/>
      <c r="R19" s="2"/>
      <c r="S19" s="13"/>
      <c r="T19" s="1"/>
      <c r="U19" s="14"/>
      <c r="V19" s="14"/>
      <c r="W19" s="14"/>
      <c r="X19" s="1"/>
      <c r="Y19" s="2"/>
      <c r="Z19" s="2"/>
      <c r="AA19" s="13"/>
      <c r="AB19" s="1"/>
      <c r="AC19" s="14"/>
      <c r="AD19" s="14"/>
      <c r="AE19" s="14"/>
      <c r="AF19" s="1"/>
      <c r="AG19" s="2"/>
      <c r="AH19" s="2"/>
      <c r="AI19" s="1">
        <v>13</v>
      </c>
      <c r="AJ19" s="1" t="str">
        <f>IF($BC$97=1,Eingabe!$G$8,"")</f>
        <v>Spieler 13</v>
      </c>
      <c r="AK19" s="1">
        <f>IF($BC$97=2,Eingabe!$G$7,"")</f>
      </c>
      <c r="AL19" s="1">
        <f>IF($BC$97=3,Eingabe!$G$6,"")</f>
      </c>
      <c r="AM19" s="1">
        <f>IF($BC$97=4,Eingabe!$C$15,"")</f>
      </c>
      <c r="AN19" s="1">
        <f>IF($BC$97=5,Eingabe!$C$14,"")</f>
      </c>
      <c r="AO19" s="1">
        <f>IF($BC$97=6,Eingabe!$C$13,"")</f>
      </c>
      <c r="AP19" s="1">
        <f>IF($BC$97=7,Eingabe!$C$12,"")</f>
      </c>
      <c r="AQ19" s="1">
        <f>IF($BC$97=8,Eingabe!$C$11,"")</f>
      </c>
      <c r="AR19" s="1">
        <f>IF($BC$97=9,Eingabe!$C$10,"")</f>
      </c>
      <c r="AS19" s="1">
        <f>IF($BC$97=10,Eingabe!$C$9,"")</f>
      </c>
      <c r="AT19" s="1">
        <f>IF($BC$97=11,Eingabe!$C$8,"")</f>
      </c>
      <c r="AU19" s="1">
        <f>IF($BC$97=12,Eingabe!$C$7,"")</f>
      </c>
      <c r="AV19" s="1">
        <f>IF($BC$97=13,Eingabe!$C$6,"")</f>
      </c>
      <c r="AW19" s="1" t="str">
        <f t="shared" si="2"/>
        <v>Spieler 13</v>
      </c>
      <c r="AY19" s="1">
        <f t="shared" si="0"/>
        <v>0</v>
      </c>
      <c r="AZ19" s="1">
        <v>3</v>
      </c>
      <c r="BA19" s="1">
        <f t="shared" si="1"/>
        <v>0</v>
      </c>
      <c r="BB19" s="1">
        <v>3</v>
      </c>
      <c r="BC19" s="1">
        <v>14</v>
      </c>
    </row>
    <row r="20" spans="7:55" ht="12.75">
      <c r="G20" t="s">
        <v>21</v>
      </c>
      <c r="AG20" s="2"/>
      <c r="AH20" s="2"/>
      <c r="AI20" s="1">
        <v>14</v>
      </c>
      <c r="AJ20" s="1" t="str">
        <f>IF($BC$97=1,Eingabe!$G$9,"")</f>
        <v>Spieler / spielfrei</v>
      </c>
      <c r="AK20" s="1">
        <f>IF($BC$97=2,Eingabe!$G$9,"")</f>
      </c>
      <c r="AL20" s="1">
        <f>IF($BC$97=3,Eingabe!$G$9,"")</f>
      </c>
      <c r="AM20" s="1">
        <f>IF($BC$97=4,Eingabe!$G$9,"")</f>
      </c>
      <c r="AN20" s="1">
        <f>IF($BC$97=5,Eingabe!$G$9,"")</f>
      </c>
      <c r="AO20" s="1">
        <f>IF($BC$97=6,Eingabe!$G$9,"")</f>
      </c>
      <c r="AP20" s="1">
        <f>IF($BC$97=7,Eingabe!$G$9,"")</f>
      </c>
      <c r="AQ20" s="1">
        <f>IF($BC$97=8,Eingabe!$G$9,"")</f>
      </c>
      <c r="AR20" s="1">
        <f>IF($BC$97=9,Eingabe!$G$9,"")</f>
      </c>
      <c r="AS20" s="1">
        <f>IF($BC$97=10,Eingabe!$G$9,"")</f>
      </c>
      <c r="AT20" s="1">
        <f>IF($BC$97=11,Eingabe!$G$9,"")</f>
      </c>
      <c r="AU20" s="1">
        <f>IF($BC$97=12,Eingabe!$G$9,"")</f>
      </c>
      <c r="AV20" s="1">
        <f>IF($BC$97=13,Eingabe!$G$9,"")</f>
      </c>
      <c r="AW20" s="1" t="str">
        <f t="shared" si="2"/>
        <v>Spieler / spielfrei</v>
      </c>
      <c r="AY20" s="1">
        <f t="shared" si="0"/>
        <v>0</v>
      </c>
      <c r="AZ20" s="1">
        <v>3</v>
      </c>
      <c r="BA20" s="1">
        <f t="shared" si="1"/>
        <v>0</v>
      </c>
      <c r="BB20" s="1">
        <v>3</v>
      </c>
      <c r="BC20" s="1">
        <v>15</v>
      </c>
    </row>
    <row r="21" spans="4:55" ht="12.75">
      <c r="D21" s="11" t="s">
        <v>22</v>
      </c>
      <c r="L21" s="11" t="s">
        <v>23</v>
      </c>
      <c r="T21" s="11" t="s">
        <v>24</v>
      </c>
      <c r="AB21" s="11" t="s">
        <v>25</v>
      </c>
      <c r="AG21" s="2"/>
      <c r="AH21" s="2"/>
      <c r="AY21" s="1">
        <f t="shared" si="0"/>
        <v>0</v>
      </c>
      <c r="AZ21" s="1">
        <v>3</v>
      </c>
      <c r="BA21" s="1">
        <f t="shared" si="1"/>
        <v>0</v>
      </c>
      <c r="BB21" s="1">
        <v>3</v>
      </c>
      <c r="BC21" s="1">
        <v>16</v>
      </c>
    </row>
    <row r="22" spans="3:55" ht="6" customHeight="1">
      <c r="C22" s="11"/>
      <c r="AG22" s="2"/>
      <c r="AH22" s="2"/>
      <c r="AY22" s="1">
        <f t="shared" si="0"/>
        <v>0</v>
      </c>
      <c r="AZ22" s="1">
        <v>3</v>
      </c>
      <c r="BA22" s="1">
        <f t="shared" si="1"/>
        <v>0</v>
      </c>
      <c r="BB22" s="1">
        <v>3</v>
      </c>
      <c r="BC22" s="1">
        <v>17</v>
      </c>
    </row>
    <row r="23" spans="1:55" ht="12.75">
      <c r="A23" t="str">
        <f>IF(Eingabe!$G$9="spielfrei","","Tisch 1 :")</f>
        <v>Tisch 1 :</v>
      </c>
      <c r="C23" s="14" t="str">
        <f>Eingabe!$C$15</f>
        <v>Spieler 10</v>
      </c>
      <c r="D23" s="1" t="s">
        <v>1</v>
      </c>
      <c r="E23" s="14" t="str">
        <f>Eingabe!$G$9</f>
        <v>Spieler / spielfrei</v>
      </c>
      <c r="F23" s="14"/>
      <c r="G23" s="1" t="s">
        <v>21</v>
      </c>
      <c r="H23" s="1" t="str">
        <f>IF($B$7="spielfrei"," ",":")</f>
        <v>:</v>
      </c>
      <c r="I23" s="5" t="str">
        <f aca="true" t="shared" si="7" ref="I23:I29">IF(G23&lt;=1,1-G23," ")</f>
        <v> </v>
      </c>
      <c r="J23" s="3"/>
      <c r="K23" s="14" t="str">
        <f>Eingabe!$C$14</f>
        <v>Spieler 9</v>
      </c>
      <c r="L23" s="1" t="s">
        <v>1</v>
      </c>
      <c r="M23" s="14" t="str">
        <f>Eingabe!$G$9</f>
        <v>Spieler / spielfrei</v>
      </c>
      <c r="N23" s="14"/>
      <c r="O23" s="1" t="s">
        <v>21</v>
      </c>
      <c r="P23" s="1" t="str">
        <f>IF($B$7="spielfrei"," ",":")</f>
        <v>:</v>
      </c>
      <c r="Q23" s="5" t="str">
        <f aca="true" t="shared" si="8" ref="Q23:Q29">IF(O23&lt;=1,1-O23," ")</f>
        <v> </v>
      </c>
      <c r="R23" s="3"/>
      <c r="S23" s="14" t="str">
        <f>Eingabe!$C$13</f>
        <v>Spieler 8</v>
      </c>
      <c r="T23" s="1" t="s">
        <v>1</v>
      </c>
      <c r="U23" s="14" t="str">
        <f>Eingabe!$G$9</f>
        <v>Spieler / spielfrei</v>
      </c>
      <c r="V23" s="14"/>
      <c r="W23" s="1" t="s">
        <v>21</v>
      </c>
      <c r="X23" s="1" t="str">
        <f>IF($B$7="spielfrei"," ",":")</f>
        <v>:</v>
      </c>
      <c r="Y23" s="5" t="str">
        <f aca="true" t="shared" si="9" ref="Y23:Y29">IF(W23&lt;=1,1-W23," ")</f>
        <v> </v>
      </c>
      <c r="Z23" s="3"/>
      <c r="AA23" s="14" t="str">
        <f>Eingabe!$C$12</f>
        <v>Spieler 7</v>
      </c>
      <c r="AB23" s="1" t="s">
        <v>1</v>
      </c>
      <c r="AC23" s="14" t="str">
        <f>Eingabe!$G$9</f>
        <v>Spieler / spielfrei</v>
      </c>
      <c r="AD23" s="14"/>
      <c r="AE23" s="1" t="s">
        <v>21</v>
      </c>
      <c r="AF23" s="1" t="str">
        <f>IF($B$7="spielfrei"," ",":")</f>
        <v>:</v>
      </c>
      <c r="AG23" s="3" t="str">
        <f aca="true" t="shared" si="10" ref="AG23:AG29">IF(AE23&lt;=1,1-AE23," ")</f>
        <v> </v>
      </c>
      <c r="AH23" s="2"/>
      <c r="AY23" s="1">
        <f t="shared" si="0"/>
        <v>0</v>
      </c>
      <c r="AZ23" s="1">
        <v>4</v>
      </c>
      <c r="BA23" s="1">
        <f t="shared" si="1"/>
        <v>0</v>
      </c>
      <c r="BB23" s="1">
        <v>3</v>
      </c>
      <c r="BC23" s="1">
        <v>18</v>
      </c>
    </row>
    <row r="24" spans="1:55" ht="12.75">
      <c r="A24" t="str">
        <f>IF(Eingabe!$G$9="spielfrei","Tisch 1 :","Tisch 2 :")</f>
        <v>Tisch 2 :</v>
      </c>
      <c r="C24" s="14" t="str">
        <f>Eingabe!$C$14</f>
        <v>Spieler 9</v>
      </c>
      <c r="D24" s="1" t="s">
        <v>1</v>
      </c>
      <c r="E24" s="14" t="str">
        <f>Eingabe!$G$6</f>
        <v>Spieler 11</v>
      </c>
      <c r="F24" s="14"/>
      <c r="G24" s="1" t="s">
        <v>21</v>
      </c>
      <c r="H24" s="1" t="s">
        <v>1</v>
      </c>
      <c r="I24" s="5" t="str">
        <f t="shared" si="7"/>
        <v> </v>
      </c>
      <c r="J24" s="3"/>
      <c r="K24" s="14" t="str">
        <f>Eingabe!$C$13</f>
        <v>Spieler 8</v>
      </c>
      <c r="L24" s="1" t="s">
        <v>1</v>
      </c>
      <c r="M24" s="14" t="str">
        <f>Eingabe!$C$15</f>
        <v>Spieler 10</v>
      </c>
      <c r="N24" s="14"/>
      <c r="O24" s="1" t="s">
        <v>21</v>
      </c>
      <c r="P24" s="1" t="s">
        <v>1</v>
      </c>
      <c r="Q24" s="5" t="str">
        <f t="shared" si="8"/>
        <v> </v>
      </c>
      <c r="R24" s="3"/>
      <c r="S24" s="14" t="str">
        <f>Eingabe!$C$12</f>
        <v>Spieler 7</v>
      </c>
      <c r="T24" s="1" t="s">
        <v>1</v>
      </c>
      <c r="U24" s="14" t="str">
        <f>Eingabe!$C$14</f>
        <v>Spieler 9</v>
      </c>
      <c r="V24" s="14"/>
      <c r="W24" s="1" t="s">
        <v>21</v>
      </c>
      <c r="X24" s="1" t="s">
        <v>1</v>
      </c>
      <c r="Y24" s="5" t="str">
        <f t="shared" si="9"/>
        <v> </v>
      </c>
      <c r="Z24" s="3"/>
      <c r="AA24" s="14" t="str">
        <f>Eingabe!$C$11</f>
        <v>Spieler 6</v>
      </c>
      <c r="AB24" s="1" t="s">
        <v>1</v>
      </c>
      <c r="AC24" s="14" t="str">
        <f>Eingabe!$C$13</f>
        <v>Spieler 8</v>
      </c>
      <c r="AD24" s="14"/>
      <c r="AE24" s="1" t="s">
        <v>21</v>
      </c>
      <c r="AF24" s="1" t="s">
        <v>1</v>
      </c>
      <c r="AG24" s="3" t="str">
        <f t="shared" si="10"/>
        <v> </v>
      </c>
      <c r="AH24" s="2"/>
      <c r="AY24" s="1">
        <f t="shared" si="0"/>
        <v>0</v>
      </c>
      <c r="AZ24" s="1">
        <v>4</v>
      </c>
      <c r="BA24" s="1">
        <f t="shared" si="1"/>
        <v>0</v>
      </c>
      <c r="BB24" s="1">
        <v>3</v>
      </c>
      <c r="BC24" s="1">
        <v>19</v>
      </c>
    </row>
    <row r="25" spans="1:55" ht="12.75">
      <c r="A25" t="str">
        <f>IF(Eingabe!$G$9="spielfrei","Tisch 2 :","Tisch 3 :")</f>
        <v>Tisch 3 :</v>
      </c>
      <c r="C25" s="14" t="str">
        <f>Eingabe!$C$13</f>
        <v>Spieler 8</v>
      </c>
      <c r="D25" s="1" t="s">
        <v>1</v>
      </c>
      <c r="E25" s="14" t="str">
        <f>Eingabe!$G$7</f>
        <v>Spieler 12</v>
      </c>
      <c r="F25" s="14"/>
      <c r="G25" s="1" t="s">
        <v>21</v>
      </c>
      <c r="H25" s="1" t="s">
        <v>1</v>
      </c>
      <c r="I25" s="5" t="str">
        <f t="shared" si="7"/>
        <v> </v>
      </c>
      <c r="J25" s="3"/>
      <c r="K25" s="14" t="str">
        <f>Eingabe!$C$12</f>
        <v>Spieler 7</v>
      </c>
      <c r="L25" s="1" t="s">
        <v>1</v>
      </c>
      <c r="M25" s="14" t="str">
        <f>Eingabe!$G$6</f>
        <v>Spieler 11</v>
      </c>
      <c r="N25" s="14"/>
      <c r="O25" s="1" t="s">
        <v>21</v>
      </c>
      <c r="P25" s="1" t="s">
        <v>1</v>
      </c>
      <c r="Q25" s="5" t="str">
        <f t="shared" si="8"/>
        <v> </v>
      </c>
      <c r="R25" s="3"/>
      <c r="S25" s="14" t="str">
        <f>Eingabe!$C$11</f>
        <v>Spieler 6</v>
      </c>
      <c r="T25" s="1" t="s">
        <v>1</v>
      </c>
      <c r="U25" s="14" t="str">
        <f>Eingabe!$C$15</f>
        <v>Spieler 10</v>
      </c>
      <c r="V25" s="14"/>
      <c r="W25" s="1" t="s">
        <v>21</v>
      </c>
      <c r="X25" s="1" t="s">
        <v>1</v>
      </c>
      <c r="Y25" s="5" t="str">
        <f t="shared" si="9"/>
        <v> </v>
      </c>
      <c r="Z25" s="3"/>
      <c r="AA25" s="14" t="str">
        <f>Eingabe!$C$10</f>
        <v>Spieler 5</v>
      </c>
      <c r="AB25" s="1" t="s">
        <v>1</v>
      </c>
      <c r="AC25" s="14" t="str">
        <f>Eingabe!$C$14</f>
        <v>Spieler 9</v>
      </c>
      <c r="AD25" s="14"/>
      <c r="AE25" s="1" t="s">
        <v>21</v>
      </c>
      <c r="AF25" s="1" t="s">
        <v>1</v>
      </c>
      <c r="AG25" s="3" t="str">
        <f t="shared" si="10"/>
        <v> </v>
      </c>
      <c r="AH25" s="2"/>
      <c r="AY25" s="1">
        <f t="shared" si="0"/>
        <v>0</v>
      </c>
      <c r="AZ25" s="1">
        <v>4</v>
      </c>
      <c r="BA25" s="1">
        <f t="shared" si="1"/>
        <v>0</v>
      </c>
      <c r="BB25" s="1">
        <v>3</v>
      </c>
      <c r="BC25" s="1">
        <v>20</v>
      </c>
    </row>
    <row r="26" spans="1:55" ht="12.75">
      <c r="A26" t="str">
        <f>IF(Eingabe!$G$9="spielfrei","Tisch 3 :","Tisch 4 :")</f>
        <v>Tisch 4 :</v>
      </c>
      <c r="C26" s="14" t="str">
        <f>Eingabe!$C$12</f>
        <v>Spieler 7</v>
      </c>
      <c r="D26" s="1" t="s">
        <v>1</v>
      </c>
      <c r="E26" s="14" t="str">
        <f>Eingabe!$G$8</f>
        <v>Spieler 13</v>
      </c>
      <c r="F26" s="14"/>
      <c r="G26" s="1" t="s">
        <v>21</v>
      </c>
      <c r="H26" s="1" t="s">
        <v>1</v>
      </c>
      <c r="I26" s="5" t="str">
        <f t="shared" si="7"/>
        <v> </v>
      </c>
      <c r="J26" s="3"/>
      <c r="K26" s="14" t="str">
        <f>Eingabe!$C$11</f>
        <v>Spieler 6</v>
      </c>
      <c r="L26" s="1" t="s">
        <v>1</v>
      </c>
      <c r="M26" s="14" t="str">
        <f>Eingabe!$G$7</f>
        <v>Spieler 12</v>
      </c>
      <c r="N26" s="14"/>
      <c r="O26" s="1" t="s">
        <v>21</v>
      </c>
      <c r="P26" s="1" t="s">
        <v>1</v>
      </c>
      <c r="Q26" s="5" t="str">
        <f t="shared" si="8"/>
        <v> </v>
      </c>
      <c r="R26" s="3"/>
      <c r="S26" s="14" t="str">
        <f>Eingabe!$C$10</f>
        <v>Spieler 5</v>
      </c>
      <c r="T26" s="1" t="s">
        <v>1</v>
      </c>
      <c r="U26" s="14" t="str">
        <f>Eingabe!$G$6</f>
        <v>Spieler 11</v>
      </c>
      <c r="V26" s="14"/>
      <c r="W26" s="1" t="s">
        <v>21</v>
      </c>
      <c r="X26" s="1" t="s">
        <v>1</v>
      </c>
      <c r="Y26" s="5" t="str">
        <f t="shared" si="9"/>
        <v> </v>
      </c>
      <c r="Z26" s="3"/>
      <c r="AA26" s="14" t="str">
        <f>Eingabe!$C$9</f>
        <v>Spieler 4</v>
      </c>
      <c r="AB26" s="1" t="s">
        <v>1</v>
      </c>
      <c r="AC26" s="14" t="str">
        <f>Eingabe!$C$15</f>
        <v>Spieler 10</v>
      </c>
      <c r="AD26" s="14"/>
      <c r="AE26" s="1" t="s">
        <v>21</v>
      </c>
      <c r="AF26" s="1" t="s">
        <v>1</v>
      </c>
      <c r="AG26" s="3" t="str">
        <f t="shared" si="10"/>
        <v> </v>
      </c>
      <c r="AH26" s="2"/>
      <c r="AY26" s="1">
        <f t="shared" si="0"/>
        <v>0</v>
      </c>
      <c r="AZ26" s="1">
        <v>4</v>
      </c>
      <c r="BA26" s="1">
        <f t="shared" si="1"/>
        <v>0</v>
      </c>
      <c r="BB26" s="1">
        <v>4</v>
      </c>
      <c r="BC26" s="1">
        <v>21</v>
      </c>
    </row>
    <row r="27" spans="1:55" ht="12.75">
      <c r="A27" t="str">
        <f>IF(Eingabe!$G$9="spielfrei","Tisch 4 :","Tisch 5 :")</f>
        <v>Tisch 5 :</v>
      </c>
      <c r="C27" s="14" t="str">
        <f>Eingabe!$C$11</f>
        <v>Spieler 6</v>
      </c>
      <c r="D27" s="1" t="s">
        <v>1</v>
      </c>
      <c r="E27" s="14" t="str">
        <f>Eingabe!$C$6</f>
        <v>Spieler 1</v>
      </c>
      <c r="F27" s="14"/>
      <c r="G27" s="1" t="s">
        <v>21</v>
      </c>
      <c r="H27" s="1" t="s">
        <v>1</v>
      </c>
      <c r="I27" s="5" t="str">
        <f t="shared" si="7"/>
        <v> </v>
      </c>
      <c r="J27" s="3"/>
      <c r="K27" s="14" t="str">
        <f>Eingabe!$C$10</f>
        <v>Spieler 5</v>
      </c>
      <c r="L27" s="1" t="s">
        <v>1</v>
      </c>
      <c r="M27" s="14" t="str">
        <f>Eingabe!$G$8</f>
        <v>Spieler 13</v>
      </c>
      <c r="N27" s="14"/>
      <c r="O27" s="1" t="s">
        <v>21</v>
      </c>
      <c r="P27" s="1" t="s">
        <v>1</v>
      </c>
      <c r="Q27" s="5" t="str">
        <f t="shared" si="8"/>
        <v> </v>
      </c>
      <c r="R27" s="3"/>
      <c r="S27" s="14" t="str">
        <f>Eingabe!$C$9</f>
        <v>Spieler 4</v>
      </c>
      <c r="T27" s="1" t="s">
        <v>1</v>
      </c>
      <c r="U27" s="14" t="str">
        <f>Eingabe!$G$7</f>
        <v>Spieler 12</v>
      </c>
      <c r="V27" s="14"/>
      <c r="W27" s="1" t="s">
        <v>21</v>
      </c>
      <c r="X27" s="1" t="s">
        <v>1</v>
      </c>
      <c r="Y27" s="5" t="str">
        <f t="shared" si="9"/>
        <v> </v>
      </c>
      <c r="Z27" s="3"/>
      <c r="AA27" s="14" t="str">
        <f>Eingabe!$C$8</f>
        <v>Spieler 3</v>
      </c>
      <c r="AB27" s="1" t="s">
        <v>1</v>
      </c>
      <c r="AC27" s="14" t="str">
        <f>Eingabe!$G$6</f>
        <v>Spieler 11</v>
      </c>
      <c r="AD27" s="14"/>
      <c r="AE27" s="1" t="s">
        <v>21</v>
      </c>
      <c r="AF27" s="1" t="s">
        <v>1</v>
      </c>
      <c r="AG27" s="3" t="str">
        <f t="shared" si="10"/>
        <v> </v>
      </c>
      <c r="AH27" s="2"/>
      <c r="AY27" s="1">
        <f t="shared" si="0"/>
        <v>0</v>
      </c>
      <c r="AZ27" s="1">
        <v>4</v>
      </c>
      <c r="BA27" s="1">
        <f t="shared" si="1"/>
        <v>0</v>
      </c>
      <c r="BB27" s="1">
        <v>4</v>
      </c>
      <c r="BC27" s="1">
        <v>22</v>
      </c>
    </row>
    <row r="28" spans="1:55" ht="12.75">
      <c r="A28" t="str">
        <f>IF(Eingabe!$G$9="spielfrei","Tisch 5 :","Tisch 6 :")</f>
        <v>Tisch 6 :</v>
      </c>
      <c r="C28" s="14" t="str">
        <f>Eingabe!$C$10</f>
        <v>Spieler 5</v>
      </c>
      <c r="D28" s="1" t="s">
        <v>1</v>
      </c>
      <c r="E28" s="14" t="str">
        <f>Eingabe!$C$7</f>
        <v>Spieler 2</v>
      </c>
      <c r="F28" s="14"/>
      <c r="G28" s="1" t="s">
        <v>21</v>
      </c>
      <c r="H28" s="1" t="s">
        <v>1</v>
      </c>
      <c r="I28" s="5" t="str">
        <f t="shared" si="7"/>
        <v> </v>
      </c>
      <c r="J28" s="3"/>
      <c r="K28" s="14" t="str">
        <f>Eingabe!$C$9</f>
        <v>Spieler 4</v>
      </c>
      <c r="L28" s="1" t="s">
        <v>1</v>
      </c>
      <c r="M28" s="14" t="str">
        <f>Eingabe!$C$6</f>
        <v>Spieler 1</v>
      </c>
      <c r="N28" s="14"/>
      <c r="O28" s="1" t="s">
        <v>21</v>
      </c>
      <c r="P28" s="1" t="s">
        <v>1</v>
      </c>
      <c r="Q28" s="5" t="str">
        <f t="shared" si="8"/>
        <v> </v>
      </c>
      <c r="R28" s="3"/>
      <c r="S28" s="14" t="str">
        <f>Eingabe!$C$8</f>
        <v>Spieler 3</v>
      </c>
      <c r="T28" s="1" t="s">
        <v>1</v>
      </c>
      <c r="U28" s="14" t="str">
        <f>Eingabe!$G$8</f>
        <v>Spieler 13</v>
      </c>
      <c r="V28" s="14"/>
      <c r="W28" s="1" t="s">
        <v>21</v>
      </c>
      <c r="X28" s="1" t="s">
        <v>1</v>
      </c>
      <c r="Y28" s="5" t="str">
        <f t="shared" si="9"/>
        <v> </v>
      </c>
      <c r="Z28" s="3"/>
      <c r="AA28" s="14" t="str">
        <f>Eingabe!$C$7</f>
        <v>Spieler 2</v>
      </c>
      <c r="AB28" s="1" t="s">
        <v>1</v>
      </c>
      <c r="AC28" s="14" t="str">
        <f>Eingabe!$G$7</f>
        <v>Spieler 12</v>
      </c>
      <c r="AD28" s="14"/>
      <c r="AE28" s="1" t="s">
        <v>21</v>
      </c>
      <c r="AF28" s="1" t="s">
        <v>1</v>
      </c>
      <c r="AG28" s="3" t="str">
        <f t="shared" si="10"/>
        <v> </v>
      </c>
      <c r="AH28" s="2"/>
      <c r="AY28" s="1">
        <f t="shared" si="0"/>
        <v>0</v>
      </c>
      <c r="AZ28" s="1">
        <v>4</v>
      </c>
      <c r="BA28" s="1">
        <f t="shared" si="1"/>
        <v>0</v>
      </c>
      <c r="BB28" s="1">
        <v>4</v>
      </c>
      <c r="BC28" s="1">
        <v>23</v>
      </c>
    </row>
    <row r="29" spans="1:55" ht="12.75">
      <c r="A29" t="str">
        <f>IF(Eingabe!$G$9="spielfrei","Tisch 6 :","Tisch 7 :")</f>
        <v>Tisch 7 :</v>
      </c>
      <c r="C29" s="14" t="str">
        <f>Eingabe!$C$9</f>
        <v>Spieler 4</v>
      </c>
      <c r="D29" s="1" t="s">
        <v>1</v>
      </c>
      <c r="E29" s="14" t="str">
        <f>Eingabe!$C$8</f>
        <v>Spieler 3</v>
      </c>
      <c r="F29" s="14"/>
      <c r="G29" s="1" t="s">
        <v>21</v>
      </c>
      <c r="H29" s="1" t="s">
        <v>1</v>
      </c>
      <c r="I29" s="5" t="str">
        <f t="shared" si="7"/>
        <v> </v>
      </c>
      <c r="J29" s="3"/>
      <c r="K29" s="14" t="str">
        <f>Eingabe!$C$8</f>
        <v>Spieler 3</v>
      </c>
      <c r="L29" s="1" t="s">
        <v>1</v>
      </c>
      <c r="M29" s="14" t="str">
        <f>Eingabe!$C$7</f>
        <v>Spieler 2</v>
      </c>
      <c r="N29" s="14"/>
      <c r="O29" s="1" t="s">
        <v>21</v>
      </c>
      <c r="P29" s="1" t="s">
        <v>1</v>
      </c>
      <c r="Q29" s="5" t="str">
        <f t="shared" si="8"/>
        <v> </v>
      </c>
      <c r="R29" s="3"/>
      <c r="S29" s="14" t="str">
        <f>Eingabe!$C$7</f>
        <v>Spieler 2</v>
      </c>
      <c r="T29" s="1" t="s">
        <v>1</v>
      </c>
      <c r="U29" s="14" t="str">
        <f>Eingabe!$C$6</f>
        <v>Spieler 1</v>
      </c>
      <c r="V29" s="14"/>
      <c r="W29" s="1" t="s">
        <v>21</v>
      </c>
      <c r="X29" s="1" t="s">
        <v>1</v>
      </c>
      <c r="Y29" s="5" t="str">
        <f t="shared" si="9"/>
        <v> </v>
      </c>
      <c r="Z29" s="3"/>
      <c r="AA29" s="14" t="str">
        <f>Eingabe!$C$6</f>
        <v>Spieler 1</v>
      </c>
      <c r="AB29" s="1" t="s">
        <v>1</v>
      </c>
      <c r="AC29" s="14" t="str">
        <f>Eingabe!$G$8</f>
        <v>Spieler 13</v>
      </c>
      <c r="AD29" s="14"/>
      <c r="AE29" s="1" t="s">
        <v>21</v>
      </c>
      <c r="AF29" s="1" t="s">
        <v>1</v>
      </c>
      <c r="AG29" s="3" t="str">
        <f t="shared" si="10"/>
        <v> </v>
      </c>
      <c r="AH29" s="2"/>
      <c r="AY29" s="1">
        <f t="shared" si="0"/>
        <v>0</v>
      </c>
      <c r="AZ29" s="1">
        <v>5</v>
      </c>
      <c r="BA29" s="1">
        <f t="shared" si="1"/>
        <v>0</v>
      </c>
      <c r="BB29" s="1">
        <v>4</v>
      </c>
      <c r="BC29" s="1">
        <v>24</v>
      </c>
    </row>
    <row r="30" spans="15:55" ht="12.75">
      <c r="O30" t="s">
        <v>21</v>
      </c>
      <c r="AG30" s="2"/>
      <c r="AH30" s="2"/>
      <c r="AY30" s="1">
        <f t="shared" si="0"/>
        <v>0</v>
      </c>
      <c r="AZ30" s="1">
        <v>5</v>
      </c>
      <c r="BA30" s="1">
        <f t="shared" si="1"/>
        <v>0</v>
      </c>
      <c r="BB30" s="1">
        <v>4</v>
      </c>
      <c r="BC30" s="1">
        <v>25</v>
      </c>
    </row>
    <row r="31" spans="33:55" ht="12.75">
      <c r="AG31" s="2"/>
      <c r="AH31" s="2"/>
      <c r="AY31" s="1">
        <f t="shared" si="0"/>
        <v>0</v>
      </c>
      <c r="AZ31" s="1">
        <v>5</v>
      </c>
      <c r="BA31" s="1">
        <f t="shared" si="1"/>
        <v>0</v>
      </c>
      <c r="BB31" s="1">
        <v>4</v>
      </c>
      <c r="BC31" s="1">
        <v>26</v>
      </c>
    </row>
    <row r="32" spans="4:55" ht="12.75">
      <c r="D32" s="11" t="s">
        <v>26</v>
      </c>
      <c r="L32" s="11" t="s">
        <v>27</v>
      </c>
      <c r="T32" s="11" t="s">
        <v>28</v>
      </c>
      <c r="AB32" s="11" t="s">
        <v>29</v>
      </c>
      <c r="AG32" s="2"/>
      <c r="AH32" s="2"/>
      <c r="AY32" s="1">
        <f t="shared" si="0"/>
        <v>0</v>
      </c>
      <c r="AZ32" s="1">
        <v>5</v>
      </c>
      <c r="BA32" s="1">
        <f t="shared" si="1"/>
        <v>0</v>
      </c>
      <c r="BB32" s="1">
        <v>4</v>
      </c>
      <c r="BC32" s="1">
        <v>27</v>
      </c>
    </row>
    <row r="33" spans="3:55" ht="6" customHeight="1">
      <c r="C33" s="11"/>
      <c r="AG33" s="2"/>
      <c r="AH33" s="2"/>
      <c r="AY33" s="1">
        <f t="shared" si="0"/>
        <v>0</v>
      </c>
      <c r="AZ33" s="1">
        <v>5</v>
      </c>
      <c r="BA33" s="1">
        <f t="shared" si="1"/>
        <v>0</v>
      </c>
      <c r="BB33" s="1">
        <v>5</v>
      </c>
      <c r="BC33" s="1">
        <v>28</v>
      </c>
    </row>
    <row r="34" spans="1:55" ht="12.75">
      <c r="A34" t="str">
        <f>IF(Eingabe!$G$9="spielfrei","","Tisch 1 :")</f>
        <v>Tisch 1 :</v>
      </c>
      <c r="C34" s="14" t="str">
        <f>Eingabe!$C$11</f>
        <v>Spieler 6</v>
      </c>
      <c r="D34" s="1" t="s">
        <v>1</v>
      </c>
      <c r="E34" s="14" t="str">
        <f>Eingabe!$G$9</f>
        <v>Spieler / spielfrei</v>
      </c>
      <c r="F34" s="14"/>
      <c r="G34" s="1" t="s">
        <v>21</v>
      </c>
      <c r="H34" s="1" t="str">
        <f>IF($B$7="spielfrei"," ",":")</f>
        <v>:</v>
      </c>
      <c r="I34" s="5" t="str">
        <f aca="true" t="shared" si="11" ref="I34:I40">IF(G34&lt;=1,1-G34," ")</f>
        <v> </v>
      </c>
      <c r="J34" s="3"/>
      <c r="K34" s="14" t="str">
        <f>Eingabe!$C$10</f>
        <v>Spieler 5</v>
      </c>
      <c r="L34" s="1" t="s">
        <v>1</v>
      </c>
      <c r="M34" s="14" t="str">
        <f>Eingabe!$G$9</f>
        <v>Spieler / spielfrei</v>
      </c>
      <c r="N34" s="14"/>
      <c r="O34" s="1" t="s">
        <v>21</v>
      </c>
      <c r="P34" s="1" t="str">
        <f>IF($B$7="spielfrei"," ",":")</f>
        <v>:</v>
      </c>
      <c r="Q34" s="5" t="str">
        <f aca="true" t="shared" si="12" ref="Q34:Q40">IF(O34&lt;=1,1-O34," ")</f>
        <v> </v>
      </c>
      <c r="R34" s="3"/>
      <c r="S34" s="14" t="str">
        <f>Eingabe!$C$9</f>
        <v>Spieler 4</v>
      </c>
      <c r="T34" s="1" t="s">
        <v>1</v>
      </c>
      <c r="U34" s="14" t="str">
        <f>Eingabe!$G$9</f>
        <v>Spieler / spielfrei</v>
      </c>
      <c r="V34" s="14"/>
      <c r="W34" s="1" t="s">
        <v>21</v>
      </c>
      <c r="X34" s="1" t="str">
        <f>IF($B$7="spielfrei"," ",":")</f>
        <v>:</v>
      </c>
      <c r="Y34" s="5" t="str">
        <f aca="true" t="shared" si="13" ref="Y34:Y40">IF(W34&lt;=1,1-W34," ")</f>
        <v> </v>
      </c>
      <c r="Z34" s="3"/>
      <c r="AA34" s="14" t="str">
        <f>Eingabe!$C$8</f>
        <v>Spieler 3</v>
      </c>
      <c r="AB34" s="1" t="s">
        <v>1</v>
      </c>
      <c r="AC34" s="14" t="str">
        <f>Eingabe!$G$9</f>
        <v>Spieler / spielfrei</v>
      </c>
      <c r="AD34" s="14"/>
      <c r="AE34" s="1" t="s">
        <v>21</v>
      </c>
      <c r="AF34" s="1" t="str">
        <f>IF($B$7="spielfrei"," ",":")</f>
        <v>:</v>
      </c>
      <c r="AG34" s="3" t="str">
        <f aca="true" t="shared" si="14" ref="AG34:AG40">IF(AE34&lt;=1,1-AE34," ")</f>
        <v> </v>
      </c>
      <c r="AH34" s="2"/>
      <c r="AY34" s="1">
        <f t="shared" si="0"/>
        <v>0</v>
      </c>
      <c r="AZ34" s="1">
        <v>5</v>
      </c>
      <c r="BA34" s="1">
        <f t="shared" si="1"/>
        <v>0</v>
      </c>
      <c r="BB34" s="1">
        <v>5</v>
      </c>
      <c r="BC34" s="1">
        <v>29</v>
      </c>
    </row>
    <row r="35" spans="1:55" ht="12.75">
      <c r="A35" t="str">
        <f>IF(Eingabe!$G$9="spielfrei","Tisch 1 :","Tisch 2 :")</f>
        <v>Tisch 2 :</v>
      </c>
      <c r="C35" s="14" t="str">
        <f>Eingabe!$C$10</f>
        <v>Spieler 5</v>
      </c>
      <c r="D35" s="1" t="s">
        <v>1</v>
      </c>
      <c r="E35" s="14" t="str">
        <f>Eingabe!$C$12</f>
        <v>Spieler 7</v>
      </c>
      <c r="F35" s="14"/>
      <c r="G35" s="1" t="s">
        <v>21</v>
      </c>
      <c r="H35" s="1" t="s">
        <v>1</v>
      </c>
      <c r="I35" s="5" t="str">
        <f t="shared" si="11"/>
        <v> </v>
      </c>
      <c r="J35" s="3"/>
      <c r="K35" s="14" t="str">
        <f>Eingabe!$C$9</f>
        <v>Spieler 4</v>
      </c>
      <c r="L35" s="1" t="s">
        <v>1</v>
      </c>
      <c r="M35" s="14" t="str">
        <f>Eingabe!$C$11</f>
        <v>Spieler 6</v>
      </c>
      <c r="N35" s="14"/>
      <c r="O35" s="1" t="s">
        <v>21</v>
      </c>
      <c r="P35" s="1" t="s">
        <v>1</v>
      </c>
      <c r="Q35" s="5" t="str">
        <f t="shared" si="12"/>
        <v> </v>
      </c>
      <c r="R35" s="3"/>
      <c r="S35" s="14" t="str">
        <f>Eingabe!$C$8</f>
        <v>Spieler 3</v>
      </c>
      <c r="T35" s="1" t="s">
        <v>1</v>
      </c>
      <c r="U35" s="14" t="str">
        <f>Eingabe!$C$10</f>
        <v>Spieler 5</v>
      </c>
      <c r="V35" s="14"/>
      <c r="W35" s="1" t="s">
        <v>21</v>
      </c>
      <c r="X35" s="1" t="s">
        <v>1</v>
      </c>
      <c r="Y35" s="5" t="str">
        <f t="shared" si="13"/>
        <v> </v>
      </c>
      <c r="Z35" s="3"/>
      <c r="AA35" s="14" t="str">
        <f>Eingabe!$C$7</f>
        <v>Spieler 2</v>
      </c>
      <c r="AB35" s="1" t="s">
        <v>1</v>
      </c>
      <c r="AC35" s="14" t="str">
        <f>Eingabe!$C$9</f>
        <v>Spieler 4</v>
      </c>
      <c r="AD35" s="14"/>
      <c r="AE35" s="1" t="s">
        <v>21</v>
      </c>
      <c r="AF35" s="1" t="s">
        <v>1</v>
      </c>
      <c r="AG35" s="3" t="str">
        <f t="shared" si="14"/>
        <v> </v>
      </c>
      <c r="AH35" s="2"/>
      <c r="AY35" s="1">
        <f t="shared" si="0"/>
        <v>0</v>
      </c>
      <c r="AZ35" s="1">
        <v>6</v>
      </c>
      <c r="BA35" s="1">
        <f t="shared" si="1"/>
        <v>0</v>
      </c>
      <c r="BB35" s="1">
        <v>5</v>
      </c>
      <c r="BC35" s="1">
        <v>30</v>
      </c>
    </row>
    <row r="36" spans="1:55" ht="12.75">
      <c r="A36" t="str">
        <f>IF(Eingabe!$G$9="spielfrei","Tisch 2 :","Tisch 3 :")</f>
        <v>Tisch 3 :</v>
      </c>
      <c r="C36" s="14" t="str">
        <f>Eingabe!$C$9</f>
        <v>Spieler 4</v>
      </c>
      <c r="D36" s="1" t="s">
        <v>1</v>
      </c>
      <c r="E36" s="14" t="str">
        <f>Eingabe!$C$13</f>
        <v>Spieler 8</v>
      </c>
      <c r="F36" s="14"/>
      <c r="G36" s="1" t="s">
        <v>21</v>
      </c>
      <c r="H36" s="1" t="s">
        <v>1</v>
      </c>
      <c r="I36" s="5" t="str">
        <f t="shared" si="11"/>
        <v> </v>
      </c>
      <c r="J36" s="3"/>
      <c r="K36" s="14" t="str">
        <f>Eingabe!$C$8</f>
        <v>Spieler 3</v>
      </c>
      <c r="L36" s="1" t="s">
        <v>1</v>
      </c>
      <c r="M36" s="14" t="str">
        <f>Eingabe!$C$12</f>
        <v>Spieler 7</v>
      </c>
      <c r="N36" s="14"/>
      <c r="O36" s="1" t="s">
        <v>21</v>
      </c>
      <c r="P36" s="1" t="s">
        <v>1</v>
      </c>
      <c r="Q36" s="5" t="str">
        <f t="shared" si="12"/>
        <v> </v>
      </c>
      <c r="R36" s="3"/>
      <c r="S36" s="14" t="str">
        <f>Eingabe!$C$7</f>
        <v>Spieler 2</v>
      </c>
      <c r="T36" s="1" t="s">
        <v>1</v>
      </c>
      <c r="U36" s="14" t="str">
        <f>Eingabe!$C$11</f>
        <v>Spieler 6</v>
      </c>
      <c r="V36" s="14"/>
      <c r="W36" s="1" t="s">
        <v>21</v>
      </c>
      <c r="X36" s="1" t="s">
        <v>1</v>
      </c>
      <c r="Y36" s="5" t="str">
        <f t="shared" si="13"/>
        <v> </v>
      </c>
      <c r="Z36" s="3"/>
      <c r="AA36" s="14" t="str">
        <f>Eingabe!$C$6</f>
        <v>Spieler 1</v>
      </c>
      <c r="AB36" s="1" t="s">
        <v>1</v>
      </c>
      <c r="AC36" s="14" t="str">
        <f>Eingabe!$C$10</f>
        <v>Spieler 5</v>
      </c>
      <c r="AD36" s="14"/>
      <c r="AE36" s="1" t="s">
        <v>21</v>
      </c>
      <c r="AF36" s="1" t="s">
        <v>1</v>
      </c>
      <c r="AG36" s="3" t="str">
        <f t="shared" si="14"/>
        <v> </v>
      </c>
      <c r="AH36" s="2"/>
      <c r="AY36" s="1">
        <f t="shared" si="0"/>
        <v>0</v>
      </c>
      <c r="AZ36" s="1">
        <v>6</v>
      </c>
      <c r="BA36" s="1">
        <f t="shared" si="1"/>
        <v>0</v>
      </c>
      <c r="BB36" s="1">
        <v>5</v>
      </c>
      <c r="BC36" s="1">
        <v>31</v>
      </c>
    </row>
    <row r="37" spans="1:55" ht="12.75">
      <c r="A37" t="str">
        <f>IF(Eingabe!$G$9="spielfrei","Tisch 3 :","Tisch 4 :")</f>
        <v>Tisch 4 :</v>
      </c>
      <c r="C37" s="14" t="str">
        <f>Eingabe!$C$8</f>
        <v>Spieler 3</v>
      </c>
      <c r="D37" s="1" t="s">
        <v>1</v>
      </c>
      <c r="E37" s="14" t="str">
        <f>Eingabe!$C$14</f>
        <v>Spieler 9</v>
      </c>
      <c r="F37" s="14"/>
      <c r="G37" s="1" t="s">
        <v>21</v>
      </c>
      <c r="H37" s="1" t="s">
        <v>1</v>
      </c>
      <c r="I37" s="5" t="str">
        <f t="shared" si="11"/>
        <v> </v>
      </c>
      <c r="J37" s="3"/>
      <c r="K37" s="14" t="str">
        <f>Eingabe!$C$7</f>
        <v>Spieler 2</v>
      </c>
      <c r="L37" s="1" t="s">
        <v>1</v>
      </c>
      <c r="M37" s="14" t="str">
        <f>Eingabe!$C$13</f>
        <v>Spieler 8</v>
      </c>
      <c r="N37" s="14"/>
      <c r="O37" s="1" t="s">
        <v>21</v>
      </c>
      <c r="P37" s="1" t="s">
        <v>1</v>
      </c>
      <c r="Q37" s="5" t="str">
        <f t="shared" si="12"/>
        <v> </v>
      </c>
      <c r="R37" s="3"/>
      <c r="S37" s="14" t="str">
        <f>Eingabe!$C$6</f>
        <v>Spieler 1</v>
      </c>
      <c r="T37" s="1" t="s">
        <v>1</v>
      </c>
      <c r="U37" s="14" t="str">
        <f>Eingabe!$C$12</f>
        <v>Spieler 7</v>
      </c>
      <c r="V37" s="14"/>
      <c r="W37" s="1" t="s">
        <v>21</v>
      </c>
      <c r="X37" s="1" t="s">
        <v>1</v>
      </c>
      <c r="Y37" s="5" t="str">
        <f t="shared" si="13"/>
        <v> </v>
      </c>
      <c r="Z37" s="3"/>
      <c r="AA37" s="14" t="str">
        <f>Eingabe!$G$8</f>
        <v>Spieler 13</v>
      </c>
      <c r="AB37" s="1" t="s">
        <v>1</v>
      </c>
      <c r="AC37" s="14" t="str">
        <f>Eingabe!$C$11</f>
        <v>Spieler 6</v>
      </c>
      <c r="AD37" s="14"/>
      <c r="AE37" s="1" t="s">
        <v>21</v>
      </c>
      <c r="AF37" s="1" t="s">
        <v>1</v>
      </c>
      <c r="AG37" s="3" t="str">
        <f t="shared" si="14"/>
        <v> </v>
      </c>
      <c r="AH37" s="2"/>
      <c r="AY37" s="1">
        <f t="shared" si="0"/>
        <v>0</v>
      </c>
      <c r="AZ37" s="1">
        <v>6</v>
      </c>
      <c r="BA37" s="1">
        <f t="shared" si="1"/>
        <v>0</v>
      </c>
      <c r="BB37" s="1">
        <v>5</v>
      </c>
      <c r="BC37" s="1">
        <v>32</v>
      </c>
    </row>
    <row r="38" spans="1:55" ht="12.75">
      <c r="A38" t="str">
        <f>IF(Eingabe!$G$9="spielfrei","Tisch 4 :","Tisch 5 :")</f>
        <v>Tisch 5 :</v>
      </c>
      <c r="C38" s="14" t="str">
        <f>Eingabe!$C$7</f>
        <v>Spieler 2</v>
      </c>
      <c r="D38" s="1" t="s">
        <v>1</v>
      </c>
      <c r="E38" s="14" t="str">
        <f>Eingabe!$C$15</f>
        <v>Spieler 10</v>
      </c>
      <c r="F38" s="14"/>
      <c r="G38" s="1" t="s">
        <v>21</v>
      </c>
      <c r="H38" s="1" t="s">
        <v>1</v>
      </c>
      <c r="I38" s="5" t="str">
        <f t="shared" si="11"/>
        <v> </v>
      </c>
      <c r="J38" s="3"/>
      <c r="K38" s="14" t="str">
        <f>Eingabe!$C$6</f>
        <v>Spieler 1</v>
      </c>
      <c r="L38" s="1" t="s">
        <v>1</v>
      </c>
      <c r="M38" s="14" t="str">
        <f>Eingabe!$C$14</f>
        <v>Spieler 9</v>
      </c>
      <c r="N38" s="14"/>
      <c r="O38" s="1" t="s">
        <v>21</v>
      </c>
      <c r="P38" s="1" t="s">
        <v>1</v>
      </c>
      <c r="Q38" s="5" t="str">
        <f t="shared" si="12"/>
        <v> </v>
      </c>
      <c r="R38" s="3"/>
      <c r="S38" s="14" t="str">
        <f>Eingabe!$G$8</f>
        <v>Spieler 13</v>
      </c>
      <c r="T38" s="1" t="s">
        <v>1</v>
      </c>
      <c r="U38" s="14" t="str">
        <f>Eingabe!$C$13</f>
        <v>Spieler 8</v>
      </c>
      <c r="V38" s="14"/>
      <c r="W38" s="1" t="s">
        <v>21</v>
      </c>
      <c r="X38" s="1" t="s">
        <v>1</v>
      </c>
      <c r="Y38" s="5" t="str">
        <f t="shared" si="13"/>
        <v> </v>
      </c>
      <c r="Z38" s="3"/>
      <c r="AA38" s="14" t="str">
        <f>Eingabe!$G$7</f>
        <v>Spieler 12</v>
      </c>
      <c r="AB38" s="1" t="s">
        <v>1</v>
      </c>
      <c r="AC38" s="14" t="str">
        <f>Eingabe!$C$12</f>
        <v>Spieler 7</v>
      </c>
      <c r="AD38" s="14"/>
      <c r="AE38" s="1" t="s">
        <v>21</v>
      </c>
      <c r="AF38" s="1" t="s">
        <v>1</v>
      </c>
      <c r="AG38" s="3" t="str">
        <f t="shared" si="14"/>
        <v> </v>
      </c>
      <c r="AH38" s="2"/>
      <c r="AY38" s="1">
        <f t="shared" si="0"/>
        <v>0</v>
      </c>
      <c r="AZ38" s="1">
        <v>6</v>
      </c>
      <c r="BA38" s="1">
        <f t="shared" si="1"/>
        <v>0</v>
      </c>
      <c r="BB38" s="1">
        <v>5</v>
      </c>
      <c r="BC38" s="1">
        <v>33</v>
      </c>
    </row>
    <row r="39" spans="1:55" ht="12.75">
      <c r="A39" t="str">
        <f>IF(Eingabe!$G$9="spielfrei","Tisch 5 :","Tisch 6 :")</f>
        <v>Tisch 6 :</v>
      </c>
      <c r="C39" s="14" t="str">
        <f>Eingabe!$C$6</f>
        <v>Spieler 1</v>
      </c>
      <c r="D39" s="1" t="s">
        <v>1</v>
      </c>
      <c r="E39" s="14" t="str">
        <f>Eingabe!$G$6</f>
        <v>Spieler 11</v>
      </c>
      <c r="F39" s="14"/>
      <c r="G39" s="1" t="s">
        <v>21</v>
      </c>
      <c r="H39" s="1" t="s">
        <v>1</v>
      </c>
      <c r="I39" s="5" t="str">
        <f t="shared" si="11"/>
        <v> </v>
      </c>
      <c r="J39" s="3"/>
      <c r="K39" s="14" t="str">
        <f>Eingabe!$G$8</f>
        <v>Spieler 13</v>
      </c>
      <c r="L39" s="1" t="s">
        <v>1</v>
      </c>
      <c r="M39" s="14" t="str">
        <f>Eingabe!$C$15</f>
        <v>Spieler 10</v>
      </c>
      <c r="N39" s="14"/>
      <c r="O39" s="1" t="s">
        <v>21</v>
      </c>
      <c r="P39" s="1" t="s">
        <v>1</v>
      </c>
      <c r="Q39" s="5" t="str">
        <f t="shared" si="12"/>
        <v> </v>
      </c>
      <c r="R39" s="3"/>
      <c r="S39" s="14" t="str">
        <f>Eingabe!$G$7</f>
        <v>Spieler 12</v>
      </c>
      <c r="T39" s="1" t="s">
        <v>1</v>
      </c>
      <c r="U39" s="14" t="str">
        <f>Eingabe!$C$14</f>
        <v>Spieler 9</v>
      </c>
      <c r="V39" s="14"/>
      <c r="W39" s="1" t="s">
        <v>21</v>
      </c>
      <c r="X39" s="1" t="s">
        <v>1</v>
      </c>
      <c r="Y39" s="5" t="str">
        <f t="shared" si="13"/>
        <v> </v>
      </c>
      <c r="Z39" s="3"/>
      <c r="AA39" s="14" t="str">
        <f>Eingabe!$G$6</f>
        <v>Spieler 11</v>
      </c>
      <c r="AB39" s="1" t="s">
        <v>1</v>
      </c>
      <c r="AC39" s="14" t="str">
        <f>Eingabe!$C$13</f>
        <v>Spieler 8</v>
      </c>
      <c r="AD39" s="14"/>
      <c r="AE39" s="1" t="s">
        <v>21</v>
      </c>
      <c r="AF39" s="1" t="s">
        <v>1</v>
      </c>
      <c r="AG39" s="3" t="str">
        <f t="shared" si="14"/>
        <v> </v>
      </c>
      <c r="AH39" s="2"/>
      <c r="AY39" s="1">
        <f t="shared" si="0"/>
        <v>0</v>
      </c>
      <c r="AZ39" s="1">
        <v>6</v>
      </c>
      <c r="BA39" s="1">
        <f t="shared" si="1"/>
        <v>0</v>
      </c>
      <c r="BB39" s="1">
        <v>5</v>
      </c>
      <c r="BC39" s="1">
        <v>34</v>
      </c>
    </row>
    <row r="40" spans="1:55" ht="12.75">
      <c r="A40" t="str">
        <f>IF(Eingabe!$G$9="spielfrei","Tisch 6 :","Tisch 7 :")</f>
        <v>Tisch 7 :</v>
      </c>
      <c r="C40" s="14" t="str">
        <f>Eingabe!$G$8</f>
        <v>Spieler 13</v>
      </c>
      <c r="D40" s="1" t="s">
        <v>1</v>
      </c>
      <c r="E40" s="14" t="str">
        <f>Eingabe!$G$7</f>
        <v>Spieler 12</v>
      </c>
      <c r="F40" s="14"/>
      <c r="G40" s="1" t="s">
        <v>21</v>
      </c>
      <c r="H40" s="1" t="s">
        <v>1</v>
      </c>
      <c r="I40" s="5" t="str">
        <f t="shared" si="11"/>
        <v> </v>
      </c>
      <c r="J40" s="3"/>
      <c r="K40" s="14" t="str">
        <f>Eingabe!$G$7</f>
        <v>Spieler 12</v>
      </c>
      <c r="L40" s="1" t="s">
        <v>1</v>
      </c>
      <c r="M40" s="14" t="str">
        <f>Eingabe!$G$6</f>
        <v>Spieler 11</v>
      </c>
      <c r="N40" s="14"/>
      <c r="O40" s="1" t="s">
        <v>21</v>
      </c>
      <c r="P40" s="1" t="s">
        <v>1</v>
      </c>
      <c r="Q40" s="5" t="str">
        <f t="shared" si="12"/>
        <v> </v>
      </c>
      <c r="R40" s="3"/>
      <c r="S40" s="14" t="str">
        <f>Eingabe!$G$6</f>
        <v>Spieler 11</v>
      </c>
      <c r="T40" s="1" t="s">
        <v>1</v>
      </c>
      <c r="U40" s="14" t="str">
        <f>Eingabe!$C$15</f>
        <v>Spieler 10</v>
      </c>
      <c r="V40" s="14"/>
      <c r="W40" s="1" t="s">
        <v>21</v>
      </c>
      <c r="X40" s="1" t="s">
        <v>1</v>
      </c>
      <c r="Y40" s="5" t="str">
        <f t="shared" si="13"/>
        <v> </v>
      </c>
      <c r="Z40" s="3"/>
      <c r="AA40" s="14" t="str">
        <f>Eingabe!$C$15</f>
        <v>Spieler 10</v>
      </c>
      <c r="AB40" s="1" t="s">
        <v>1</v>
      </c>
      <c r="AC40" s="14" t="str">
        <f>Eingabe!$C$14</f>
        <v>Spieler 9</v>
      </c>
      <c r="AD40" s="14"/>
      <c r="AE40" s="1" t="s">
        <v>21</v>
      </c>
      <c r="AF40" s="1" t="s">
        <v>1</v>
      </c>
      <c r="AG40" s="3" t="str">
        <f t="shared" si="14"/>
        <v> </v>
      </c>
      <c r="AH40" s="2"/>
      <c r="AY40" s="1">
        <f t="shared" si="0"/>
        <v>0</v>
      </c>
      <c r="AZ40" s="1">
        <v>6</v>
      </c>
      <c r="BA40" s="1">
        <f t="shared" si="1"/>
        <v>0</v>
      </c>
      <c r="BB40" s="1">
        <v>6</v>
      </c>
      <c r="BC40" s="1">
        <v>35</v>
      </c>
    </row>
    <row r="41" spans="7:55" ht="12.75">
      <c r="G41" t="s">
        <v>21</v>
      </c>
      <c r="AG41" s="2"/>
      <c r="AH41" s="2"/>
      <c r="AY41" s="1">
        <f t="shared" si="0"/>
        <v>0</v>
      </c>
      <c r="AZ41" s="1">
        <v>7</v>
      </c>
      <c r="BA41" s="1">
        <f t="shared" si="1"/>
        <v>0</v>
      </c>
      <c r="BB41" s="1">
        <v>6</v>
      </c>
      <c r="BC41" s="1">
        <v>36</v>
      </c>
    </row>
    <row r="42" spans="33:55" ht="12.75">
      <c r="AG42" s="2"/>
      <c r="AH42" s="2"/>
      <c r="AY42" s="1">
        <f t="shared" si="0"/>
        <v>0</v>
      </c>
      <c r="AZ42" s="1">
        <v>7</v>
      </c>
      <c r="BA42" s="1">
        <f t="shared" si="1"/>
        <v>0</v>
      </c>
      <c r="BB42" s="1">
        <v>6</v>
      </c>
      <c r="BC42" s="1">
        <v>37</v>
      </c>
    </row>
    <row r="43" spans="4:55" ht="12.75">
      <c r="D43" s="11" t="s">
        <v>30</v>
      </c>
      <c r="K43" s="11"/>
      <c r="P43" s="2"/>
      <c r="Q43" s="2"/>
      <c r="R43" s="2"/>
      <c r="S43" s="72"/>
      <c r="T43" s="2"/>
      <c r="U43" s="2"/>
      <c r="V43" s="2"/>
      <c r="W43" s="2"/>
      <c r="X43" s="2"/>
      <c r="Y43" s="2"/>
      <c r="Z43" s="2"/>
      <c r="AA43" s="72"/>
      <c r="AG43" s="2"/>
      <c r="AH43" s="2"/>
      <c r="AY43" s="1">
        <f t="shared" si="0"/>
        <v>0</v>
      </c>
      <c r="AZ43" s="1">
        <v>7</v>
      </c>
      <c r="BA43" s="1">
        <f t="shared" si="1"/>
        <v>0</v>
      </c>
      <c r="BB43" s="1">
        <v>6</v>
      </c>
      <c r="BC43" s="1">
        <v>38</v>
      </c>
    </row>
    <row r="44" spans="3:55" ht="6" customHeight="1">
      <c r="C44" s="1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G44" s="2"/>
      <c r="AH44" s="2"/>
      <c r="AY44" s="1">
        <f t="shared" si="0"/>
        <v>0</v>
      </c>
      <c r="AZ44" s="1">
        <v>7</v>
      </c>
      <c r="BA44" s="1">
        <f t="shared" si="1"/>
        <v>0</v>
      </c>
      <c r="BB44" s="1">
        <v>6</v>
      </c>
      <c r="BC44" s="1">
        <v>39</v>
      </c>
    </row>
    <row r="45" spans="1:55" ht="12.75">
      <c r="A45" t="str">
        <f>IF(Eingabe!$G$9="spielfrei","","Tisch 1 :")</f>
        <v>Tisch 1 :</v>
      </c>
      <c r="C45" s="14" t="str">
        <f>Eingabe!$C$7</f>
        <v>Spieler 2</v>
      </c>
      <c r="D45" s="1" t="s">
        <v>1</v>
      </c>
      <c r="E45" s="14" t="str">
        <f>Eingabe!$G$9</f>
        <v>Spieler / spielfrei</v>
      </c>
      <c r="F45" s="14"/>
      <c r="G45" s="1" t="s">
        <v>21</v>
      </c>
      <c r="H45" s="1" t="str">
        <f>IF($B$7="spielfrei"," ",":")</f>
        <v>:</v>
      </c>
      <c r="I45" s="5" t="str">
        <f aca="true" t="shared" si="15" ref="I45:I51">IF(G45&lt;=1,1-G45," ")</f>
        <v> </v>
      </c>
      <c r="J45" s="3"/>
      <c r="K45" s="13"/>
      <c r="L45" s="1"/>
      <c r="M45" s="14"/>
      <c r="N45" s="14"/>
      <c r="O45" s="1"/>
      <c r="P45" s="3"/>
      <c r="Q45" s="3"/>
      <c r="R45" s="3"/>
      <c r="S45" s="73"/>
      <c r="T45" s="3"/>
      <c r="U45" s="68"/>
      <c r="V45" s="68"/>
      <c r="W45" s="3"/>
      <c r="X45" s="3"/>
      <c r="Y45" s="3"/>
      <c r="Z45" s="3"/>
      <c r="AA45" s="73"/>
      <c r="AB45" s="1"/>
      <c r="AC45" s="14"/>
      <c r="AD45" s="14"/>
      <c r="AE45" s="1"/>
      <c r="AF45" s="1"/>
      <c r="AG45" s="3"/>
      <c r="AH45" s="2"/>
      <c r="AY45" s="1">
        <f t="shared" si="0"/>
        <v>0</v>
      </c>
      <c r="AZ45" s="1">
        <v>7</v>
      </c>
      <c r="BA45" s="1">
        <f t="shared" si="1"/>
        <v>0</v>
      </c>
      <c r="BB45" s="1">
        <v>6</v>
      </c>
      <c r="BC45" s="1">
        <v>40</v>
      </c>
    </row>
    <row r="46" spans="1:55" ht="12.75">
      <c r="A46" t="str">
        <f>IF(Eingabe!$G$9="spielfrei","Tisch 1 :","Tisch 2 :")</f>
        <v>Tisch 2 :</v>
      </c>
      <c r="C46" s="14" t="str">
        <f>Eingabe!$C$6</f>
        <v>Spieler 1</v>
      </c>
      <c r="D46" s="1" t="s">
        <v>1</v>
      </c>
      <c r="E46" s="14" t="str">
        <f>Eingabe!$C$8</f>
        <v>Spieler 3</v>
      </c>
      <c r="F46" s="14"/>
      <c r="G46" s="1" t="s">
        <v>21</v>
      </c>
      <c r="H46" s="1" t="s">
        <v>1</v>
      </c>
      <c r="I46" s="5" t="str">
        <f t="shared" si="15"/>
        <v> </v>
      </c>
      <c r="J46" s="3"/>
      <c r="K46" s="13"/>
      <c r="L46" s="1"/>
      <c r="M46" s="14"/>
      <c r="N46" s="14"/>
      <c r="O46" s="1"/>
      <c r="P46" s="3"/>
      <c r="Q46" s="3"/>
      <c r="R46" s="3"/>
      <c r="S46" s="73"/>
      <c r="T46" s="3"/>
      <c r="U46" s="68"/>
      <c r="V46" s="68"/>
      <c r="W46" s="3"/>
      <c r="X46" s="3"/>
      <c r="Y46" s="3"/>
      <c r="Z46" s="3"/>
      <c r="AA46" s="73"/>
      <c r="AB46" s="1"/>
      <c r="AC46" s="14"/>
      <c r="AD46" s="14"/>
      <c r="AE46" s="1"/>
      <c r="AF46" s="1"/>
      <c r="AG46" s="3"/>
      <c r="AH46" s="2"/>
      <c r="AY46" s="1">
        <f t="shared" si="0"/>
        <v>0</v>
      </c>
      <c r="AZ46" s="1">
        <v>7</v>
      </c>
      <c r="BA46" s="1">
        <f t="shared" si="1"/>
        <v>0</v>
      </c>
      <c r="BB46" s="1">
        <v>6</v>
      </c>
      <c r="BC46" s="1">
        <v>41</v>
      </c>
    </row>
    <row r="47" spans="1:55" ht="12.75">
      <c r="A47" t="str">
        <f>IF(Eingabe!$G$9="spielfrei","Tisch 2 :","Tisch 3 :")</f>
        <v>Tisch 3 :</v>
      </c>
      <c r="C47" s="14" t="str">
        <f>Eingabe!$G$8</f>
        <v>Spieler 13</v>
      </c>
      <c r="D47" s="1" t="s">
        <v>1</v>
      </c>
      <c r="E47" s="14" t="str">
        <f>Eingabe!$C$9</f>
        <v>Spieler 4</v>
      </c>
      <c r="F47" s="14"/>
      <c r="G47" s="1" t="s">
        <v>21</v>
      </c>
      <c r="H47" s="1" t="s">
        <v>1</v>
      </c>
      <c r="I47" s="5" t="str">
        <f t="shared" si="15"/>
        <v> </v>
      </c>
      <c r="J47" s="3"/>
      <c r="K47" s="13"/>
      <c r="L47" s="1"/>
      <c r="M47" s="14"/>
      <c r="N47" s="14"/>
      <c r="O47" s="1"/>
      <c r="P47" s="3"/>
      <c r="Q47" s="3"/>
      <c r="R47" s="3"/>
      <c r="S47" s="73"/>
      <c r="T47" s="3"/>
      <c r="U47" s="68"/>
      <c r="V47" s="68"/>
      <c r="W47" s="3"/>
      <c r="X47" s="3"/>
      <c r="Y47" s="3"/>
      <c r="Z47" s="3"/>
      <c r="AA47" s="73"/>
      <c r="AB47" s="1"/>
      <c r="AC47" s="14"/>
      <c r="AD47" s="14"/>
      <c r="AE47" s="1"/>
      <c r="AF47" s="1"/>
      <c r="AG47" s="3"/>
      <c r="AH47" s="2"/>
      <c r="AY47" s="1">
        <f t="shared" si="0"/>
        <v>0</v>
      </c>
      <c r="AZ47" s="1">
        <v>8</v>
      </c>
      <c r="BA47" s="1">
        <f t="shared" si="1"/>
        <v>0</v>
      </c>
      <c r="BB47" s="1">
        <v>7</v>
      </c>
      <c r="BC47" s="1">
        <v>42</v>
      </c>
    </row>
    <row r="48" spans="1:55" ht="12.75">
      <c r="A48" t="str">
        <f>IF(Eingabe!$G$9="spielfrei","Tisch 3 :","Tisch 4 :")</f>
        <v>Tisch 4 :</v>
      </c>
      <c r="C48" s="14" t="str">
        <f>Eingabe!$G$7</f>
        <v>Spieler 12</v>
      </c>
      <c r="D48" s="1" t="s">
        <v>1</v>
      </c>
      <c r="E48" s="14" t="str">
        <f>Eingabe!$C$10</f>
        <v>Spieler 5</v>
      </c>
      <c r="F48" s="14"/>
      <c r="G48" s="1" t="s">
        <v>21</v>
      </c>
      <c r="H48" s="1" t="s">
        <v>1</v>
      </c>
      <c r="I48" s="5" t="str">
        <f t="shared" si="15"/>
        <v> </v>
      </c>
      <c r="J48" s="3"/>
      <c r="K48" s="13"/>
      <c r="L48" s="1"/>
      <c r="M48" s="14"/>
      <c r="N48" s="14"/>
      <c r="O48" s="1"/>
      <c r="P48" s="3"/>
      <c r="Q48" s="3"/>
      <c r="R48" s="3"/>
      <c r="S48" s="73"/>
      <c r="T48" s="3"/>
      <c r="U48" s="68"/>
      <c r="V48" s="68"/>
      <c r="W48" s="3"/>
      <c r="X48" s="3"/>
      <c r="Y48" s="3"/>
      <c r="Z48" s="3"/>
      <c r="AA48" s="73"/>
      <c r="AB48" s="1"/>
      <c r="AC48" s="14"/>
      <c r="AD48" s="14"/>
      <c r="AE48" s="1"/>
      <c r="AF48" s="1"/>
      <c r="AG48" s="3"/>
      <c r="AH48" s="2"/>
      <c r="AY48" s="1">
        <f t="shared" si="0"/>
        <v>0</v>
      </c>
      <c r="AZ48" s="1">
        <v>8</v>
      </c>
      <c r="BA48" s="1">
        <f t="shared" si="1"/>
        <v>0</v>
      </c>
      <c r="BB48" s="1">
        <v>7</v>
      </c>
      <c r="BC48" s="1">
        <v>43</v>
      </c>
    </row>
    <row r="49" spans="1:55" ht="12.75">
      <c r="A49" t="str">
        <f>IF(Eingabe!$G$9="spielfrei","Tisch 4 :","Tisch 5 :")</f>
        <v>Tisch 5 :</v>
      </c>
      <c r="C49" s="14" t="str">
        <f>Eingabe!$G$6</f>
        <v>Spieler 11</v>
      </c>
      <c r="D49" s="1" t="s">
        <v>1</v>
      </c>
      <c r="E49" s="14" t="str">
        <f>Eingabe!$C$11</f>
        <v>Spieler 6</v>
      </c>
      <c r="F49" s="14"/>
      <c r="G49" s="1" t="s">
        <v>21</v>
      </c>
      <c r="H49" s="1" t="s">
        <v>1</v>
      </c>
      <c r="I49" s="5" t="str">
        <f t="shared" si="15"/>
        <v> </v>
      </c>
      <c r="J49" s="3"/>
      <c r="K49" s="13"/>
      <c r="L49" s="1"/>
      <c r="M49" s="14"/>
      <c r="N49" s="14"/>
      <c r="O49" s="1"/>
      <c r="P49" s="3"/>
      <c r="Q49" s="3"/>
      <c r="R49" s="3"/>
      <c r="S49" s="73"/>
      <c r="T49" s="3"/>
      <c r="U49" s="68"/>
      <c r="V49" s="68"/>
      <c r="W49" s="3"/>
      <c r="X49" s="3"/>
      <c r="Y49" s="3"/>
      <c r="Z49" s="3"/>
      <c r="AA49" s="73"/>
      <c r="AB49" s="1"/>
      <c r="AC49" s="14"/>
      <c r="AD49" s="14"/>
      <c r="AE49" s="1"/>
      <c r="AF49" s="1"/>
      <c r="AG49" s="3"/>
      <c r="AH49" s="2"/>
      <c r="AY49" s="1">
        <f t="shared" si="0"/>
        <v>0</v>
      </c>
      <c r="AZ49" s="1">
        <v>8</v>
      </c>
      <c r="BA49" s="1">
        <f t="shared" si="1"/>
        <v>0</v>
      </c>
      <c r="BB49" s="1">
        <v>7</v>
      </c>
      <c r="BC49" s="1">
        <v>44</v>
      </c>
    </row>
    <row r="50" spans="1:55" ht="12.75">
      <c r="A50" t="str">
        <f>IF(Eingabe!$G$9="spielfrei","Tisch 5 :","Tisch 6 :")</f>
        <v>Tisch 6 :</v>
      </c>
      <c r="C50" s="14" t="str">
        <f>Eingabe!$C$15</f>
        <v>Spieler 10</v>
      </c>
      <c r="D50" s="1" t="s">
        <v>1</v>
      </c>
      <c r="E50" s="14" t="str">
        <f>Eingabe!$C$12</f>
        <v>Spieler 7</v>
      </c>
      <c r="F50" s="14"/>
      <c r="G50" s="1" t="s">
        <v>21</v>
      </c>
      <c r="H50" s="1" t="s">
        <v>1</v>
      </c>
      <c r="I50" s="5" t="str">
        <f t="shared" si="15"/>
        <v> </v>
      </c>
      <c r="J50" s="3"/>
      <c r="K50" s="13"/>
      <c r="L50" s="1"/>
      <c r="M50" s="14"/>
      <c r="N50" s="14"/>
      <c r="O50" s="1"/>
      <c r="P50" s="3"/>
      <c r="Q50" s="3"/>
      <c r="R50" s="3"/>
      <c r="S50" s="73"/>
      <c r="T50" s="3"/>
      <c r="U50" s="68"/>
      <c r="V50" s="68"/>
      <c r="W50" s="3"/>
      <c r="X50" s="3"/>
      <c r="Y50" s="3"/>
      <c r="Z50" s="3"/>
      <c r="AA50" s="73"/>
      <c r="AB50" s="1"/>
      <c r="AC50" s="14"/>
      <c r="AD50" s="14"/>
      <c r="AE50" s="1"/>
      <c r="AF50" s="1"/>
      <c r="AG50" s="3"/>
      <c r="AH50" s="2"/>
      <c r="AY50" s="1">
        <f t="shared" si="0"/>
        <v>0</v>
      </c>
      <c r="AZ50" s="1">
        <v>8</v>
      </c>
      <c r="BA50" s="1">
        <f t="shared" si="1"/>
        <v>0</v>
      </c>
      <c r="BB50" s="1">
        <v>7</v>
      </c>
      <c r="BC50" s="1">
        <v>45</v>
      </c>
    </row>
    <row r="51" spans="1:55" ht="12.75">
      <c r="A51" t="str">
        <f>IF(Eingabe!$G$9="spielfrei","Tisch 6 :","Tisch 7 :")</f>
        <v>Tisch 7 :</v>
      </c>
      <c r="C51" s="14" t="str">
        <f>Eingabe!$C$14</f>
        <v>Spieler 9</v>
      </c>
      <c r="D51" s="1" t="s">
        <v>1</v>
      </c>
      <c r="E51" s="14" t="str">
        <f>Eingabe!$C$13</f>
        <v>Spieler 8</v>
      </c>
      <c r="F51" s="14"/>
      <c r="G51" s="1" t="s">
        <v>21</v>
      </c>
      <c r="H51" s="1" t="s">
        <v>1</v>
      </c>
      <c r="I51" s="5" t="str">
        <f t="shared" si="15"/>
        <v> </v>
      </c>
      <c r="J51" s="3"/>
      <c r="K51" s="13"/>
      <c r="L51" s="1"/>
      <c r="M51" s="14"/>
      <c r="N51" s="14"/>
      <c r="O51" s="1"/>
      <c r="P51" s="3"/>
      <c r="Q51" s="3"/>
      <c r="R51" s="3"/>
      <c r="S51" s="73"/>
      <c r="T51" s="3"/>
      <c r="U51" s="68"/>
      <c r="V51" s="68"/>
      <c r="W51" s="3"/>
      <c r="X51" s="3"/>
      <c r="Y51" s="3"/>
      <c r="Z51" s="3"/>
      <c r="AA51" s="73"/>
      <c r="AB51" s="1"/>
      <c r="AC51" s="14"/>
      <c r="AD51" s="14"/>
      <c r="AE51" s="1"/>
      <c r="AF51" s="1"/>
      <c r="AG51" s="3"/>
      <c r="AH51" s="2"/>
      <c r="AY51" s="1">
        <f t="shared" si="0"/>
        <v>0</v>
      </c>
      <c r="AZ51" s="1">
        <v>8</v>
      </c>
      <c r="BA51" s="1">
        <f t="shared" si="1"/>
        <v>0</v>
      </c>
      <c r="BB51" s="1">
        <v>7</v>
      </c>
      <c r="BC51" s="1">
        <v>46</v>
      </c>
    </row>
    <row r="52" spans="7:55" ht="12.75">
      <c r="G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G52" s="2"/>
      <c r="AH52" s="2"/>
      <c r="AY52" s="1">
        <f t="shared" si="0"/>
        <v>0</v>
      </c>
      <c r="AZ52" s="1">
        <v>8</v>
      </c>
      <c r="BA52" s="1">
        <f t="shared" si="1"/>
        <v>0</v>
      </c>
      <c r="BB52" s="1">
        <v>7</v>
      </c>
      <c r="BC52" s="1">
        <v>47</v>
      </c>
    </row>
    <row r="53" spans="16:55" ht="12.75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G53" s="2"/>
      <c r="AH53" s="2"/>
      <c r="AY53" s="1">
        <f t="shared" si="0"/>
        <v>0</v>
      </c>
      <c r="AZ53" s="1">
        <v>9</v>
      </c>
      <c r="BA53" s="1">
        <f t="shared" si="1"/>
        <v>0</v>
      </c>
      <c r="BB53" s="1">
        <v>7</v>
      </c>
      <c r="BC53" s="1">
        <v>48</v>
      </c>
    </row>
    <row r="54" spans="33:55" ht="12.75">
      <c r="AG54" s="2"/>
      <c r="AH54" s="2"/>
      <c r="AY54" s="1">
        <f t="shared" si="0"/>
        <v>0</v>
      </c>
      <c r="AZ54" s="1">
        <v>9</v>
      </c>
      <c r="BA54" s="1">
        <f t="shared" si="1"/>
        <v>0</v>
      </c>
      <c r="BB54" s="1">
        <v>8</v>
      </c>
      <c r="BC54" s="1">
        <v>49</v>
      </c>
    </row>
    <row r="55" spans="33:55" ht="12.75">
      <c r="AG55" s="2"/>
      <c r="AH55" s="2"/>
      <c r="AY55" s="1">
        <f t="shared" si="0"/>
        <v>0</v>
      </c>
      <c r="AZ55" s="1">
        <v>9</v>
      </c>
      <c r="BA55" s="1">
        <f t="shared" si="1"/>
        <v>0</v>
      </c>
      <c r="BB55" s="1">
        <v>8</v>
      </c>
      <c r="BC55" s="1">
        <v>50</v>
      </c>
    </row>
    <row r="56" spans="51:55" ht="12.75">
      <c r="AY56" s="1">
        <f t="shared" si="0"/>
        <v>0</v>
      </c>
      <c r="AZ56" s="1">
        <v>9</v>
      </c>
      <c r="BA56" s="1">
        <f t="shared" si="1"/>
        <v>0</v>
      </c>
      <c r="BB56" s="1">
        <v>8</v>
      </c>
      <c r="BC56" s="1">
        <v>51</v>
      </c>
    </row>
    <row r="57" spans="51:55" ht="12.75">
      <c r="AY57" s="1">
        <f t="shared" si="0"/>
        <v>0</v>
      </c>
      <c r="AZ57" s="1">
        <v>9</v>
      </c>
      <c r="BA57" s="1">
        <f t="shared" si="1"/>
        <v>0</v>
      </c>
      <c r="BB57" s="1">
        <v>8</v>
      </c>
      <c r="BC57" s="1">
        <v>52</v>
      </c>
    </row>
    <row r="58" spans="51:55" ht="12.75">
      <c r="AY58" s="1">
        <f t="shared" si="0"/>
        <v>0</v>
      </c>
      <c r="AZ58" s="1">
        <v>9</v>
      </c>
      <c r="BA58" s="1">
        <f t="shared" si="1"/>
        <v>0</v>
      </c>
      <c r="BB58" s="1">
        <v>8</v>
      </c>
      <c r="BC58" s="1">
        <v>53</v>
      </c>
    </row>
    <row r="59" spans="51:55" ht="12.75">
      <c r="AY59" s="1">
        <f t="shared" si="0"/>
        <v>0</v>
      </c>
      <c r="AZ59" s="1">
        <v>10</v>
      </c>
      <c r="BA59" s="1">
        <f t="shared" si="1"/>
        <v>0</v>
      </c>
      <c r="BB59" s="1">
        <v>8</v>
      </c>
      <c r="BC59" s="1">
        <v>54</v>
      </c>
    </row>
    <row r="60" spans="51:55" ht="12.75">
      <c r="AY60" s="1">
        <f t="shared" si="0"/>
        <v>0</v>
      </c>
      <c r="AZ60" s="1">
        <v>10</v>
      </c>
      <c r="BA60" s="1">
        <f t="shared" si="1"/>
        <v>0</v>
      </c>
      <c r="BB60" s="1">
        <v>8</v>
      </c>
      <c r="BC60" s="1">
        <v>55</v>
      </c>
    </row>
    <row r="61" spans="51:55" ht="12.75">
      <c r="AY61" s="1">
        <f t="shared" si="0"/>
        <v>0</v>
      </c>
      <c r="AZ61" s="1">
        <v>10</v>
      </c>
      <c r="BA61" s="1">
        <f t="shared" si="1"/>
        <v>0</v>
      </c>
      <c r="BB61" s="1">
        <v>9</v>
      </c>
      <c r="BC61" s="1">
        <v>56</v>
      </c>
    </row>
    <row r="62" spans="51:55" ht="12.75">
      <c r="AY62" s="1">
        <f t="shared" si="0"/>
        <v>0</v>
      </c>
      <c r="AZ62" s="1">
        <v>10</v>
      </c>
      <c r="BA62" s="1">
        <f t="shared" si="1"/>
        <v>0</v>
      </c>
      <c r="BB62" s="1">
        <v>9</v>
      </c>
      <c r="BC62" s="1">
        <v>57</v>
      </c>
    </row>
    <row r="63" spans="51:55" ht="12.75">
      <c r="AY63" s="1">
        <f t="shared" si="0"/>
        <v>0</v>
      </c>
      <c r="AZ63" s="1">
        <v>10</v>
      </c>
      <c r="BA63" s="1">
        <f t="shared" si="1"/>
        <v>0</v>
      </c>
      <c r="BB63" s="1">
        <v>9</v>
      </c>
      <c r="BC63" s="1">
        <v>58</v>
      </c>
    </row>
    <row r="64" spans="51:55" ht="12.75">
      <c r="AY64" s="1">
        <f t="shared" si="0"/>
        <v>0</v>
      </c>
      <c r="AZ64" s="1">
        <v>10</v>
      </c>
      <c r="BA64" s="1">
        <f t="shared" si="1"/>
        <v>0</v>
      </c>
      <c r="BB64" s="1">
        <v>9</v>
      </c>
      <c r="BC64" s="1">
        <v>59</v>
      </c>
    </row>
    <row r="65" spans="51:55" ht="12.75">
      <c r="AY65" s="1">
        <f t="shared" si="0"/>
        <v>0</v>
      </c>
      <c r="AZ65" s="1">
        <v>11</v>
      </c>
      <c r="BA65" s="1">
        <f t="shared" si="1"/>
        <v>0</v>
      </c>
      <c r="BB65" s="1">
        <v>9</v>
      </c>
      <c r="BC65" s="1">
        <v>60</v>
      </c>
    </row>
    <row r="66" spans="51:55" ht="12.75">
      <c r="AY66" s="1">
        <f t="shared" si="0"/>
        <v>0</v>
      </c>
      <c r="AZ66" s="1">
        <v>11</v>
      </c>
      <c r="BA66" s="1">
        <f t="shared" si="1"/>
        <v>0</v>
      </c>
      <c r="BB66" s="1">
        <v>9</v>
      </c>
      <c r="BC66" s="1">
        <v>61</v>
      </c>
    </row>
    <row r="67" spans="51:55" ht="12.75">
      <c r="AY67" s="1">
        <f t="shared" si="0"/>
        <v>0</v>
      </c>
      <c r="AZ67" s="1">
        <v>11</v>
      </c>
      <c r="BA67" s="1">
        <f t="shared" si="1"/>
        <v>0</v>
      </c>
      <c r="BB67" s="1">
        <v>9</v>
      </c>
      <c r="BC67" s="1">
        <v>62</v>
      </c>
    </row>
    <row r="68" spans="51:55" ht="12.75">
      <c r="AY68" s="1">
        <f t="shared" si="0"/>
        <v>0</v>
      </c>
      <c r="AZ68" s="1">
        <v>11</v>
      </c>
      <c r="BA68" s="1">
        <f t="shared" si="1"/>
        <v>0</v>
      </c>
      <c r="BB68" s="1">
        <v>10</v>
      </c>
      <c r="BC68" s="1">
        <v>63</v>
      </c>
    </row>
    <row r="69" spans="51:55" ht="12.75">
      <c r="AY69" s="1">
        <f t="shared" si="0"/>
        <v>0</v>
      </c>
      <c r="AZ69" s="1">
        <v>11</v>
      </c>
      <c r="BA69" s="1">
        <f t="shared" si="1"/>
        <v>0</v>
      </c>
      <c r="BB69" s="1">
        <v>10</v>
      </c>
      <c r="BC69" s="1">
        <v>64</v>
      </c>
    </row>
    <row r="70" spans="51:55" ht="12.75">
      <c r="AY70" s="1">
        <f aca="true" t="shared" si="16" ref="AY70:AY83">IF($AY$4=BC70,AZ70,0)</f>
        <v>0</v>
      </c>
      <c r="AZ70" s="1">
        <v>11</v>
      </c>
      <c r="BA70" s="1">
        <f aca="true" t="shared" si="17" ref="BA70:BA96">IF($BA$4=BC70,BB70,0)</f>
        <v>0</v>
      </c>
      <c r="BB70" s="1">
        <v>10</v>
      </c>
      <c r="BC70" s="1">
        <v>65</v>
      </c>
    </row>
    <row r="71" spans="51:55" ht="12.75">
      <c r="AY71" s="1">
        <f t="shared" si="16"/>
        <v>0</v>
      </c>
      <c r="AZ71" s="1">
        <v>12</v>
      </c>
      <c r="BA71" s="1">
        <f t="shared" si="17"/>
        <v>0</v>
      </c>
      <c r="BB71" s="1">
        <v>10</v>
      </c>
      <c r="BC71" s="1">
        <v>66</v>
      </c>
    </row>
    <row r="72" spans="51:55" ht="12.75">
      <c r="AY72" s="1">
        <f t="shared" si="16"/>
        <v>0</v>
      </c>
      <c r="AZ72" s="1">
        <v>12</v>
      </c>
      <c r="BA72" s="1">
        <f t="shared" si="17"/>
        <v>0</v>
      </c>
      <c r="BB72" s="1">
        <v>10</v>
      </c>
      <c r="BC72" s="1">
        <v>67</v>
      </c>
    </row>
    <row r="73" spans="51:55" ht="12.75">
      <c r="AY73" s="1">
        <f t="shared" si="16"/>
        <v>0</v>
      </c>
      <c r="AZ73" s="1">
        <v>12</v>
      </c>
      <c r="BA73" s="1">
        <f t="shared" si="17"/>
        <v>0</v>
      </c>
      <c r="BB73" s="1">
        <v>10</v>
      </c>
      <c r="BC73" s="1">
        <v>68</v>
      </c>
    </row>
    <row r="74" spans="51:55" ht="12.75">
      <c r="AY74" s="1">
        <f t="shared" si="16"/>
        <v>0</v>
      </c>
      <c r="AZ74" s="1">
        <v>12</v>
      </c>
      <c r="BA74" s="1">
        <f t="shared" si="17"/>
        <v>0</v>
      </c>
      <c r="BB74" s="1">
        <v>10</v>
      </c>
      <c r="BC74" s="1">
        <v>69</v>
      </c>
    </row>
    <row r="75" spans="51:55" ht="12.75">
      <c r="AY75" s="1">
        <f t="shared" si="16"/>
        <v>0</v>
      </c>
      <c r="AZ75" s="1">
        <v>12</v>
      </c>
      <c r="BA75" s="1">
        <f t="shared" si="17"/>
        <v>0</v>
      </c>
      <c r="BB75" s="1">
        <v>11</v>
      </c>
      <c r="BC75" s="1">
        <v>70</v>
      </c>
    </row>
    <row r="76" spans="51:55" ht="12.75">
      <c r="AY76" s="1">
        <f t="shared" si="16"/>
        <v>0</v>
      </c>
      <c r="AZ76" s="1">
        <v>12</v>
      </c>
      <c r="BA76" s="1">
        <f t="shared" si="17"/>
        <v>0</v>
      </c>
      <c r="BB76" s="1">
        <v>11</v>
      </c>
      <c r="BC76" s="1">
        <v>71</v>
      </c>
    </row>
    <row r="77" spans="51:55" ht="12.75">
      <c r="AY77" s="1">
        <f t="shared" si="16"/>
        <v>0</v>
      </c>
      <c r="AZ77" s="1">
        <v>13</v>
      </c>
      <c r="BA77" s="1">
        <f t="shared" si="17"/>
        <v>0</v>
      </c>
      <c r="BB77" s="1">
        <v>11</v>
      </c>
      <c r="BC77" s="1">
        <v>72</v>
      </c>
    </row>
    <row r="78" spans="51:55" ht="12.75">
      <c r="AY78" s="1">
        <f t="shared" si="16"/>
        <v>0</v>
      </c>
      <c r="AZ78" s="1">
        <v>13</v>
      </c>
      <c r="BA78" s="1">
        <f t="shared" si="17"/>
        <v>0</v>
      </c>
      <c r="BB78" s="1">
        <v>11</v>
      </c>
      <c r="BC78" s="1">
        <v>73</v>
      </c>
    </row>
    <row r="79" spans="51:55" ht="12.75">
      <c r="AY79" s="1">
        <f t="shared" si="16"/>
        <v>0</v>
      </c>
      <c r="AZ79" s="1">
        <v>13</v>
      </c>
      <c r="BA79" s="1">
        <f t="shared" si="17"/>
        <v>0</v>
      </c>
      <c r="BB79" s="1">
        <v>11</v>
      </c>
      <c r="BC79" s="1">
        <v>74</v>
      </c>
    </row>
    <row r="80" spans="51:55" ht="12.75">
      <c r="AY80" s="1">
        <f t="shared" si="16"/>
        <v>0</v>
      </c>
      <c r="AZ80" s="1">
        <v>13</v>
      </c>
      <c r="BA80" s="1">
        <f t="shared" si="17"/>
        <v>0</v>
      </c>
      <c r="BB80" s="1">
        <v>11</v>
      </c>
      <c r="BC80" s="1">
        <v>75</v>
      </c>
    </row>
    <row r="81" spans="51:55" ht="12.75">
      <c r="AY81" s="1">
        <f t="shared" si="16"/>
        <v>0</v>
      </c>
      <c r="AZ81" s="1">
        <v>13</v>
      </c>
      <c r="BA81" s="1">
        <f t="shared" si="17"/>
        <v>0</v>
      </c>
      <c r="BB81" s="1">
        <v>11</v>
      </c>
      <c r="BC81" s="1">
        <v>76</v>
      </c>
    </row>
    <row r="82" spans="51:55" ht="12.75">
      <c r="AY82" s="1">
        <f t="shared" si="16"/>
        <v>0</v>
      </c>
      <c r="AZ82" s="1">
        <v>13</v>
      </c>
      <c r="BA82" s="1">
        <f t="shared" si="17"/>
        <v>0</v>
      </c>
      <c r="BB82" s="1">
        <v>12</v>
      </c>
      <c r="BC82" s="1">
        <v>77</v>
      </c>
    </row>
    <row r="83" spans="51:55" ht="12.75">
      <c r="AY83" s="1">
        <f t="shared" si="16"/>
        <v>0</v>
      </c>
      <c r="AZ83" s="1">
        <v>13</v>
      </c>
      <c r="BA83" s="1">
        <f t="shared" si="17"/>
        <v>0</v>
      </c>
      <c r="BB83" s="1">
        <v>12</v>
      </c>
      <c r="BC83" s="1">
        <v>78</v>
      </c>
    </row>
    <row r="84" spans="53:55" ht="12.75">
      <c r="BA84" s="1">
        <f t="shared" si="17"/>
        <v>0</v>
      </c>
      <c r="BB84" s="1">
        <v>12</v>
      </c>
      <c r="BC84" s="1">
        <v>79</v>
      </c>
    </row>
    <row r="85" spans="53:55" ht="12.75">
      <c r="BA85" s="1">
        <f t="shared" si="17"/>
        <v>0</v>
      </c>
      <c r="BB85" s="1">
        <v>12</v>
      </c>
      <c r="BC85" s="1">
        <v>80</v>
      </c>
    </row>
    <row r="86" spans="53:55" ht="12.75">
      <c r="BA86" s="1">
        <f t="shared" si="17"/>
        <v>0</v>
      </c>
      <c r="BB86" s="1">
        <v>12</v>
      </c>
      <c r="BC86" s="1">
        <v>81</v>
      </c>
    </row>
    <row r="87" spans="53:55" ht="12.75">
      <c r="BA87" s="1">
        <f t="shared" si="17"/>
        <v>0</v>
      </c>
      <c r="BB87" s="1">
        <v>12</v>
      </c>
      <c r="BC87" s="1">
        <v>82</v>
      </c>
    </row>
    <row r="88" spans="53:55" ht="12.75">
      <c r="BA88" s="1">
        <f t="shared" si="17"/>
        <v>0</v>
      </c>
      <c r="BB88" s="1">
        <v>12</v>
      </c>
      <c r="BC88" s="1">
        <v>83</v>
      </c>
    </row>
    <row r="89" spans="53:55" ht="12.75">
      <c r="BA89" s="1">
        <f t="shared" si="17"/>
        <v>0</v>
      </c>
      <c r="BB89" s="1">
        <v>13</v>
      </c>
      <c r="BC89" s="1">
        <v>84</v>
      </c>
    </row>
    <row r="90" spans="53:55" ht="12.75">
      <c r="BA90" s="1">
        <f t="shared" si="17"/>
        <v>0</v>
      </c>
      <c r="BB90" s="1">
        <v>13</v>
      </c>
      <c r="BC90" s="1">
        <v>85</v>
      </c>
    </row>
    <row r="91" spans="53:55" ht="12.75">
      <c r="BA91" s="1">
        <f t="shared" si="17"/>
        <v>0</v>
      </c>
      <c r="BB91" s="1">
        <v>13</v>
      </c>
      <c r="BC91" s="1">
        <v>86</v>
      </c>
    </row>
    <row r="92" spans="53:55" ht="12.75">
      <c r="BA92" s="1">
        <f t="shared" si="17"/>
        <v>0</v>
      </c>
      <c r="BB92" s="1">
        <v>13</v>
      </c>
      <c r="BC92" s="1">
        <v>87</v>
      </c>
    </row>
    <row r="93" spans="53:55" ht="12.75">
      <c r="BA93" s="1">
        <f t="shared" si="17"/>
        <v>0</v>
      </c>
      <c r="BB93" s="1">
        <v>13</v>
      </c>
      <c r="BC93" s="1">
        <v>88</v>
      </c>
    </row>
    <row r="94" spans="53:55" ht="12.75">
      <c r="BA94" s="1">
        <f t="shared" si="17"/>
        <v>0</v>
      </c>
      <c r="BB94" s="1">
        <v>13</v>
      </c>
      <c r="BC94" s="1">
        <v>89</v>
      </c>
    </row>
    <row r="95" spans="53:55" ht="12.75">
      <c r="BA95" s="1">
        <f t="shared" si="17"/>
        <v>0</v>
      </c>
      <c r="BB95" s="1">
        <v>13</v>
      </c>
      <c r="BC95" s="1">
        <v>90</v>
      </c>
    </row>
    <row r="96" spans="53:55" ht="12.75">
      <c r="BA96" s="1">
        <f t="shared" si="17"/>
        <v>0</v>
      </c>
      <c r="BB96" s="1">
        <v>13</v>
      </c>
      <c r="BC96" s="1">
        <v>91</v>
      </c>
    </row>
    <row r="97" spans="51:55" ht="12.75">
      <c r="AY97" s="1">
        <f>SUM(AY5:AY83)</f>
        <v>0</v>
      </c>
      <c r="BA97" s="1">
        <f>SUM(BA5:BA96)</f>
        <v>1</v>
      </c>
      <c r="BC97" s="1">
        <f>IF(COUNTA($G$1)=1,$G$1,AY97+BA97)</f>
        <v>1</v>
      </c>
    </row>
  </sheetData>
  <mergeCells count="17">
    <mergeCell ref="B8:AC8"/>
    <mergeCell ref="Z4:AC4"/>
    <mergeCell ref="B6:E6"/>
    <mergeCell ref="F6:I6"/>
    <mergeCell ref="J6:M6"/>
    <mergeCell ref="N6:Q6"/>
    <mergeCell ref="R6:U6"/>
    <mergeCell ref="V6:Y6"/>
    <mergeCell ref="Z6:AC6"/>
    <mergeCell ref="J4:M4"/>
    <mergeCell ref="N4:Q4"/>
    <mergeCell ref="R4:U4"/>
    <mergeCell ref="V4:Y4"/>
    <mergeCell ref="B1:C1"/>
    <mergeCell ref="D1:E1"/>
    <mergeCell ref="F4:I4"/>
    <mergeCell ref="B4:E4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BY5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17" width="5.421875" style="0" customWidth="1"/>
    <col min="21" max="21" width="2.7109375" style="0" customWidth="1"/>
    <col min="26" max="26" width="11.421875" style="0" hidden="1" customWidth="1"/>
    <col min="27" max="27" width="5.57421875" style="1" hidden="1" customWidth="1"/>
    <col min="28" max="28" width="22.00390625" style="0" hidden="1" customWidth="1"/>
    <col min="29" max="42" width="5.421875" style="0" hidden="1" customWidth="1"/>
    <col min="43" max="47" width="11.421875" style="0" hidden="1" customWidth="1"/>
  </cols>
  <sheetData>
    <row r="2" spans="2:45" ht="24.75" customHeight="1">
      <c r="B2" s="80" t="str">
        <f>Eingabe!$G$3</f>
        <v>z. B. Monatsblitzturnier</v>
      </c>
      <c r="C2" s="12"/>
      <c r="D2" s="16"/>
      <c r="E2" s="16"/>
      <c r="F2" s="12"/>
      <c r="G2" s="29"/>
      <c r="H2" s="16"/>
      <c r="I2" s="16"/>
      <c r="J2" s="16"/>
      <c r="K2" s="16"/>
      <c r="L2" s="16"/>
      <c r="M2" s="16"/>
      <c r="N2" s="16"/>
      <c r="O2" s="16"/>
      <c r="P2" s="12"/>
      <c r="Q2" s="12"/>
      <c r="S2" s="30" t="s">
        <v>16</v>
      </c>
      <c r="T2" s="31" t="str">
        <f>T22</f>
        <v>??.??.????</v>
      </c>
      <c r="AA2" s="80"/>
      <c r="AB2" s="12"/>
      <c r="AC2" s="16"/>
      <c r="AD2" s="16"/>
      <c r="AE2" s="12"/>
      <c r="AF2" s="29"/>
      <c r="AG2" s="16"/>
      <c r="AH2" s="16"/>
      <c r="AI2" s="16"/>
      <c r="AJ2" s="16"/>
      <c r="AK2" s="16"/>
      <c r="AL2" s="16"/>
      <c r="AM2" s="16"/>
      <c r="AN2" s="16"/>
      <c r="AO2" s="12"/>
      <c r="AP2" s="12"/>
      <c r="AR2" s="30"/>
      <c r="AS2" s="31"/>
    </row>
    <row r="3" spans="2:45" s="18" customFormat="1" ht="18.75" thickBot="1">
      <c r="B3" s="1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AA3" s="19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77" s="8" customFormat="1" ht="24.75" customHeight="1">
      <c r="A4" s="6"/>
      <c r="B4" s="20" t="s">
        <v>31</v>
      </c>
      <c r="C4" s="21" t="s">
        <v>32</v>
      </c>
      <c r="D4" s="64">
        <v>1</v>
      </c>
      <c r="E4" s="64">
        <v>2</v>
      </c>
      <c r="F4" s="64">
        <v>3</v>
      </c>
      <c r="G4" s="64">
        <v>4</v>
      </c>
      <c r="H4" s="64">
        <v>5</v>
      </c>
      <c r="I4" s="64">
        <v>6</v>
      </c>
      <c r="J4" s="64">
        <v>7</v>
      </c>
      <c r="K4" s="64">
        <v>8</v>
      </c>
      <c r="L4" s="64">
        <v>9</v>
      </c>
      <c r="M4" s="64">
        <v>10</v>
      </c>
      <c r="N4" s="64">
        <v>11</v>
      </c>
      <c r="O4" s="64">
        <v>12</v>
      </c>
      <c r="P4" s="64">
        <v>13</v>
      </c>
      <c r="Q4" s="65">
        <v>14</v>
      </c>
      <c r="R4" s="21" t="s">
        <v>33</v>
      </c>
      <c r="S4" s="50" t="s">
        <v>34</v>
      </c>
      <c r="T4" s="22" t="s">
        <v>35</v>
      </c>
      <c r="U4" s="9"/>
      <c r="V4" s="9"/>
      <c r="W4" s="9"/>
      <c r="X4" s="9"/>
      <c r="Y4" s="9"/>
      <c r="Z4" s="9"/>
      <c r="AA4" s="20" t="s">
        <v>31</v>
      </c>
      <c r="AB4" s="21" t="s">
        <v>32</v>
      </c>
      <c r="AC4" s="64">
        <v>1</v>
      </c>
      <c r="AD4" s="64">
        <v>2</v>
      </c>
      <c r="AE4" s="64">
        <v>3</v>
      </c>
      <c r="AF4" s="64">
        <v>4</v>
      </c>
      <c r="AG4" s="64">
        <v>5</v>
      </c>
      <c r="AH4" s="64">
        <v>6</v>
      </c>
      <c r="AI4" s="64">
        <v>7</v>
      </c>
      <c r="AJ4" s="64">
        <v>8</v>
      </c>
      <c r="AK4" s="64">
        <v>9</v>
      </c>
      <c r="AL4" s="64">
        <v>10</v>
      </c>
      <c r="AM4" s="64">
        <v>11</v>
      </c>
      <c r="AN4" s="64">
        <v>12</v>
      </c>
      <c r="AO4" s="64">
        <v>13</v>
      </c>
      <c r="AP4" s="65">
        <v>14</v>
      </c>
      <c r="AQ4" s="21" t="s">
        <v>33</v>
      </c>
      <c r="AR4" s="50" t="s">
        <v>34</v>
      </c>
      <c r="AS4" s="22" t="s">
        <v>35</v>
      </c>
      <c r="AT4" s="9"/>
      <c r="AU4" s="92" t="s">
        <v>44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2:77" ht="24.75" customHeight="1">
      <c r="B5" s="10">
        <v>1</v>
      </c>
      <c r="C5" s="24" t="str">
        <f aca="true" t="shared" si="0" ref="C5:C18">AB25</f>
        <v>Spieler 1</v>
      </c>
      <c r="D5" s="63"/>
      <c r="E5" s="52" t="str">
        <f aca="true" t="shared" si="1" ref="E5:Q5">AD43</f>
        <v> </v>
      </c>
      <c r="F5" s="52" t="str">
        <f t="shared" si="1"/>
        <v> </v>
      </c>
      <c r="G5" s="52" t="str">
        <f t="shared" si="1"/>
        <v> </v>
      </c>
      <c r="H5" s="52" t="str">
        <f t="shared" si="1"/>
        <v> </v>
      </c>
      <c r="I5" s="52" t="str">
        <f t="shared" si="1"/>
        <v> </v>
      </c>
      <c r="J5" s="52" t="str">
        <f t="shared" si="1"/>
        <v> </v>
      </c>
      <c r="K5" s="52" t="str">
        <f t="shared" si="1"/>
        <v> </v>
      </c>
      <c r="L5" s="52" t="str">
        <f t="shared" si="1"/>
        <v> </v>
      </c>
      <c r="M5" s="52" t="str">
        <f t="shared" si="1"/>
        <v> </v>
      </c>
      <c r="N5" s="52" t="str">
        <f t="shared" si="1"/>
        <v> </v>
      </c>
      <c r="O5" s="52" t="str">
        <f t="shared" si="1"/>
        <v> </v>
      </c>
      <c r="P5" s="52" t="str">
        <f t="shared" si="1"/>
        <v> </v>
      </c>
      <c r="Q5" s="27" t="str">
        <f t="shared" si="1"/>
        <v> </v>
      </c>
      <c r="R5" s="76" t="str">
        <f aca="true" t="shared" si="2" ref="R5:R18">AQ25</f>
        <v> </v>
      </c>
      <c r="S5" s="74">
        <f aca="true" t="shared" si="3" ref="S5:S18">AR25</f>
      </c>
      <c r="T5" s="57" t="str">
        <f aca="true" t="shared" si="4" ref="T5:T18">AS25</f>
        <v> </v>
      </c>
      <c r="U5" s="2"/>
      <c r="V5" s="2"/>
      <c r="W5" s="2"/>
      <c r="X5" s="2"/>
      <c r="Y5" s="2"/>
      <c r="Z5" s="2">
        <f>RANK(AU5,$AU$5:$AU$18,0)</f>
        <v>1</v>
      </c>
      <c r="AA5" s="10">
        <v>1</v>
      </c>
      <c r="AB5" s="24" t="str">
        <f>Eingabe!$C$6</f>
        <v>Spieler 1</v>
      </c>
      <c r="AC5" s="63" t="s">
        <v>21</v>
      </c>
      <c r="AD5" s="52" t="str">
        <f>'14 Spieler'!$Y$29</f>
        <v> </v>
      </c>
      <c r="AE5" s="52" t="str">
        <f>'14 Spieler'!$G$46</f>
        <v> </v>
      </c>
      <c r="AF5" s="52" t="str">
        <f>'14 Spieler'!$Q$28</f>
        <v> </v>
      </c>
      <c r="AG5" s="52" t="str">
        <f>'14 Spieler'!$AE$36</f>
        <v> </v>
      </c>
      <c r="AH5" s="52" t="str">
        <f>'14 Spieler'!$I$27</f>
        <v> </v>
      </c>
      <c r="AI5" s="52" t="str">
        <f>'14 Spieler'!$W$37</f>
        <v> </v>
      </c>
      <c r="AJ5" s="52" t="str">
        <f>'14 Spieler'!$AG15</f>
        <v> </v>
      </c>
      <c r="AK5" s="52" t="str">
        <f>'14 Spieler'!$O$38</f>
        <v> </v>
      </c>
      <c r="AL5" s="52" t="str">
        <f>'14 Spieler'!$Y$14</f>
        <v> </v>
      </c>
      <c r="AM5" s="52" t="str">
        <f>'14 Spieler'!$G$39</f>
        <v> </v>
      </c>
      <c r="AN5" s="52" t="str">
        <f>'14 Spieler'!$Q$13</f>
        <v> </v>
      </c>
      <c r="AO5" s="52" t="str">
        <f>'14 Spieler'!$AE$29</f>
        <v> </v>
      </c>
      <c r="AP5" s="27" t="str">
        <f>'14 Spieler'!$G$12</f>
        <v> </v>
      </c>
      <c r="AQ5" s="76" t="str">
        <f aca="true" t="shared" si="5" ref="AQ5:AQ18">IF(COUNT($Q$25,$P$26,$O$27,$N$28,$M$29,$L$30,$K$31,$J$32,$I$33,$H$34,$G$35,$F$36,$E$37,$D$38)&gt;0,SUM(AC5:AP5)," ")</f>
        <v> </v>
      </c>
      <c r="AR5" s="74">
        <f aca="true" t="shared" si="6" ref="AR5:AR18">IF(COUNT($Q$25,$P$26,$O$27,$N$28,$M$29,$L$30,$K$31,$J$32,$I$33,$H$34,$G$35,$F$36,$E$37,$D$38)&gt;0,IF(OR(AC5=1,AC5=0.5),AC5*$R$25,0)+IF(OR(AD5=1,AD5=0.5),AD5*$R$26,0)+IF(OR(AE5=1,AE5=0.5),AE5*$R$27,0)+IF(OR(AF5=1,AF5=0.5),AF5*$R$28,0)+IF(OR(AG5=1,AG5=0.5),AG5*$R$29,0)+IF(OR(AH5=1,AH5=0.5),AH5*$R$30,0)+IF(OR(AI5=1,AI5=0.5),AI5*$R$31,0)+IF(OR(AJ5=1,AJ5=0.5),AJ5*$R$32,0)+IF(OR(AK5=1,AK5=0.5),AK5*$R$33,0)+IF(OR(AL5=1,AL5=0.5),AL5*$R$34,0)+IF(OR(AM5=1,AM5=0.5),AM5*$R$35,0)+IF(OR(AN5=1,AN5=0.5),AN5*$R$36,0)+IF(OR(AO5=1,AO5=0.5),AO5*$R$37,0)+IF(OR(AP5=1,AP5=0.5),AP5*$R$38,0),"")</f>
      </c>
      <c r="AS5" s="57" t="str">
        <f>IF('Tabelle 14'!$C$5=AB5,'Tabelle 14'!$R$5,"")&amp;IF('Tabelle 14'!$C$6=AB5,'Tabelle 14'!$R$6,"")&amp;IF('Tabelle 14'!$C$7=AB5,'Tabelle 14'!$R$7,"")&amp;IF('Tabelle 14'!$C$8=AB5,'Tabelle 14'!$R$8,"")&amp;IF('Tabelle 14'!$C$9=AB5,'Tabelle 14'!$R$9,"")&amp;IF('Tabelle 14'!$C$10=AB5,'Tabelle 14'!$R$10,"")&amp;IF('Tabelle 14'!$C$11=AB5,'Tabelle 14'!$R$11,"")&amp;IF('Tabelle 14'!$C$12=AB5,'Tabelle 14'!$R$12,"")&amp;IF('Tabelle 14'!$C$13=AB5,'Tabelle 14'!$R$13,"")&amp;IF('Tabelle 14'!$C$14=AB5,'Tabelle 14'!$R$14,"")&amp;IF('Tabelle 14'!$C$15=AB5,'Tabelle 14'!$R$15,"")&amp;IF('Tabelle 14'!$C$16=AB5,'Tabelle 14'!$R$16,"")&amp;IF('Tabelle 14'!$C$17=AB5,'Tabelle 14'!$R$17,"")&amp;IF('Tabelle 14'!$C$18=AB5,'Tabelle 14'!$R$18,"")</f>
        <v> </v>
      </c>
      <c r="AT5" s="90">
        <v>1</v>
      </c>
      <c r="AU5" s="3">
        <f>'Tabelle 14'!N5</f>
        <v>0.14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2:77" ht="24.75" customHeight="1">
      <c r="B6" s="10">
        <v>2</v>
      </c>
      <c r="C6" s="24" t="str">
        <f t="shared" si="0"/>
        <v>Spieler 2</v>
      </c>
      <c r="D6" s="52" t="str">
        <f aca="true" t="shared" si="7" ref="D6:D18">AC44</f>
        <v> </v>
      </c>
      <c r="E6" s="63"/>
      <c r="F6" s="52" t="str">
        <f aca="true" t="shared" si="8" ref="F6:Q6">AE44</f>
        <v> </v>
      </c>
      <c r="G6" s="52" t="str">
        <f t="shared" si="8"/>
        <v> </v>
      </c>
      <c r="H6" s="52" t="str">
        <f t="shared" si="8"/>
        <v> </v>
      </c>
      <c r="I6" s="52" t="str">
        <f t="shared" si="8"/>
        <v> </v>
      </c>
      <c r="J6" s="52" t="str">
        <f t="shared" si="8"/>
        <v> </v>
      </c>
      <c r="K6" s="52" t="str">
        <f t="shared" si="8"/>
        <v> </v>
      </c>
      <c r="L6" s="52" t="str">
        <f t="shared" si="8"/>
        <v> </v>
      </c>
      <c r="M6" s="52" t="str">
        <f t="shared" si="8"/>
        <v> </v>
      </c>
      <c r="N6" s="52" t="str">
        <f t="shared" si="8"/>
        <v> </v>
      </c>
      <c r="O6" s="52" t="str">
        <f t="shared" si="8"/>
        <v> </v>
      </c>
      <c r="P6" s="52" t="str">
        <f t="shared" si="8"/>
        <v> </v>
      </c>
      <c r="Q6" s="27" t="str">
        <f t="shared" si="8"/>
        <v> </v>
      </c>
      <c r="R6" s="76" t="str">
        <f t="shared" si="2"/>
        <v> </v>
      </c>
      <c r="S6" s="74">
        <f t="shared" si="3"/>
      </c>
      <c r="T6" s="57" t="str">
        <f t="shared" si="4"/>
        <v> </v>
      </c>
      <c r="U6" s="2"/>
      <c r="V6" s="2"/>
      <c r="W6" s="2"/>
      <c r="X6" s="2"/>
      <c r="Y6" s="2"/>
      <c r="Z6" s="2">
        <f aca="true" t="shared" si="9" ref="Z6:Z18">RANK(AU6,$AU$5:$AU$18,0)</f>
        <v>2</v>
      </c>
      <c r="AA6" s="10">
        <v>2</v>
      </c>
      <c r="AB6" s="24" t="str">
        <f>Eingabe!$C$7</f>
        <v>Spieler 2</v>
      </c>
      <c r="AC6" s="52" t="str">
        <f>'14 Spieler'!$W$29</f>
        <v> </v>
      </c>
      <c r="AD6" s="63" t="s">
        <v>21</v>
      </c>
      <c r="AE6" s="52" t="str">
        <f>'14 Spieler'!$Q$29</f>
        <v> </v>
      </c>
      <c r="AF6" s="52" t="str">
        <f>'14 Spieler'!$AE$35</f>
        <v> </v>
      </c>
      <c r="AG6" s="52" t="str">
        <f>'14 Spieler'!$I$28</f>
        <v> </v>
      </c>
      <c r="AH6" s="52" t="str">
        <f>'14 Spieler'!$W$36</f>
        <v> </v>
      </c>
      <c r="AI6" s="52" t="str">
        <f>'14 Spieler'!$AG$16</f>
        <v> </v>
      </c>
      <c r="AJ6" s="52" t="str">
        <f>'14 Spieler'!$O$37</f>
        <v> </v>
      </c>
      <c r="AK6" s="52" t="str">
        <f>'14 Spieler'!$Y$15</f>
        <v> </v>
      </c>
      <c r="AL6" s="52" t="str">
        <f>'14 Spieler'!$G$38</f>
        <v> </v>
      </c>
      <c r="AM6" s="52" t="str">
        <f>'14 Spieler'!$Q$14</f>
        <v> </v>
      </c>
      <c r="AN6" s="52" t="str">
        <f>'14 Spieler'!$AE$28</f>
        <v> </v>
      </c>
      <c r="AO6" s="52" t="str">
        <f>'14 Spieler'!$I$13</f>
        <v> </v>
      </c>
      <c r="AP6" s="27" t="str">
        <f>'14 Spieler'!$G$45</f>
        <v> </v>
      </c>
      <c r="AQ6" s="76" t="str">
        <f t="shared" si="5"/>
        <v> </v>
      </c>
      <c r="AR6" s="74">
        <f t="shared" si="6"/>
      </c>
      <c r="AS6" s="57" t="str">
        <f>IF('Tabelle 14'!$C$5=AB6,'Tabelle 14'!$R$5,"")&amp;IF('Tabelle 14'!$C$6=AB6,'Tabelle 14'!$R$6,"")&amp;IF('Tabelle 14'!$C$7=AB6,'Tabelle 14'!$R$7,"")&amp;IF('Tabelle 14'!$C$8=AB6,'Tabelle 14'!$R$8,"")&amp;IF('Tabelle 14'!$C$9=AB6,'Tabelle 14'!$R$9,"")&amp;IF('Tabelle 14'!$C$10=AB6,'Tabelle 14'!$R$10,"")&amp;IF('Tabelle 14'!$C$11=AB6,'Tabelle 14'!$R$11,"")&amp;IF('Tabelle 14'!$C$12=AB6,'Tabelle 14'!$R$12,"")&amp;IF('Tabelle 14'!$C$13=AB6,'Tabelle 14'!$R$13,"")&amp;IF('Tabelle 14'!$C$14=AB6,'Tabelle 14'!$R$14,"")&amp;IF('Tabelle 14'!$C$15=AB6,'Tabelle 14'!$R$15,"")&amp;IF('Tabelle 14'!$C$16=AB6,'Tabelle 14'!$R$16,"")&amp;IF('Tabelle 14'!$C$17=AB6,'Tabelle 14'!$R$17,"")&amp;IF('Tabelle 14'!$C$18=AB6,'Tabelle 14'!$R$18,"")</f>
        <v> </v>
      </c>
      <c r="AT6" s="90">
        <v>2</v>
      </c>
      <c r="AU6" s="3">
        <f>'Tabelle 14'!N6</f>
        <v>0.13</v>
      </c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2:77" ht="24.75" customHeight="1">
      <c r="B7" s="10">
        <v>3</v>
      </c>
      <c r="C7" s="24" t="str">
        <f t="shared" si="0"/>
        <v>Spieler 3</v>
      </c>
      <c r="D7" s="52" t="str">
        <f t="shared" si="7"/>
        <v> </v>
      </c>
      <c r="E7" s="52" t="str">
        <f aca="true" t="shared" si="10" ref="E7:E18">AD45</f>
        <v> </v>
      </c>
      <c r="F7" s="63"/>
      <c r="G7" s="52" t="str">
        <f aca="true" t="shared" si="11" ref="G7:Q7">AF45</f>
        <v> </v>
      </c>
      <c r="H7" s="52" t="str">
        <f t="shared" si="11"/>
        <v> </v>
      </c>
      <c r="I7" s="52" t="str">
        <f t="shared" si="11"/>
        <v> </v>
      </c>
      <c r="J7" s="52" t="str">
        <f t="shared" si="11"/>
        <v> </v>
      </c>
      <c r="K7" s="52" t="str">
        <f t="shared" si="11"/>
        <v> </v>
      </c>
      <c r="L7" s="52" t="str">
        <f t="shared" si="11"/>
        <v> </v>
      </c>
      <c r="M7" s="52" t="str">
        <f t="shared" si="11"/>
        <v> </v>
      </c>
      <c r="N7" s="52" t="str">
        <f t="shared" si="11"/>
        <v> </v>
      </c>
      <c r="O7" s="52" t="str">
        <f t="shared" si="11"/>
        <v> </v>
      </c>
      <c r="P7" s="52" t="str">
        <f t="shared" si="11"/>
        <v> </v>
      </c>
      <c r="Q7" s="27" t="str">
        <f t="shared" si="11"/>
        <v> </v>
      </c>
      <c r="R7" s="76" t="str">
        <f t="shared" si="2"/>
        <v> </v>
      </c>
      <c r="S7" s="74">
        <f t="shared" si="3"/>
      </c>
      <c r="T7" s="57" t="str">
        <f t="shared" si="4"/>
        <v> </v>
      </c>
      <c r="U7" s="2"/>
      <c r="V7" s="2"/>
      <c r="W7" s="2"/>
      <c r="X7" s="2"/>
      <c r="Y7" s="2"/>
      <c r="Z7" s="2">
        <f t="shared" si="9"/>
        <v>3</v>
      </c>
      <c r="AA7" s="10">
        <v>3</v>
      </c>
      <c r="AB7" s="24" t="str">
        <f>Eingabe!$C$8</f>
        <v>Spieler 3</v>
      </c>
      <c r="AC7" s="52" t="str">
        <f>'14 Spieler'!$I$46</f>
        <v> </v>
      </c>
      <c r="AD7" s="52" t="str">
        <f>'14 Spieler'!$O$29</f>
        <v> </v>
      </c>
      <c r="AE7" s="63" t="s">
        <v>21</v>
      </c>
      <c r="AF7" s="52" t="str">
        <f>'14 Spieler'!$I$29</f>
        <v> </v>
      </c>
      <c r="AG7" s="52" t="str">
        <f>'14 Spieler'!$W$35</f>
        <v> </v>
      </c>
      <c r="AH7" s="52" t="str">
        <f>'14 Spieler'!$AG$17</f>
        <v> </v>
      </c>
      <c r="AI7" s="52" t="str">
        <f>'14 Spieler'!$O$36</f>
        <v> </v>
      </c>
      <c r="AJ7" s="52" t="str">
        <f>'14 Spieler'!$Y$16</f>
        <v> </v>
      </c>
      <c r="AK7" s="52" t="str">
        <f>'14 Spieler'!$G$37</f>
        <v> </v>
      </c>
      <c r="AL7" s="52" t="str">
        <f>'14 Spieler'!$Q$15</f>
        <v> </v>
      </c>
      <c r="AM7" s="52" t="str">
        <f>'14 Spieler'!$AE$27</f>
        <v> </v>
      </c>
      <c r="AN7" s="52" t="str">
        <f>'14 Spieler'!$I$14</f>
        <v> </v>
      </c>
      <c r="AO7" s="52" t="str">
        <f>'14 Spieler'!$W$28</f>
        <v> </v>
      </c>
      <c r="AP7" s="27" t="str">
        <f>'14 Spieler'!$AE$34</f>
        <v> </v>
      </c>
      <c r="AQ7" s="76" t="str">
        <f t="shared" si="5"/>
        <v> </v>
      </c>
      <c r="AR7" s="74">
        <f t="shared" si="6"/>
      </c>
      <c r="AS7" s="57" t="str">
        <f>IF('Tabelle 14'!$C$5=AB7,'Tabelle 14'!$R$5,"")&amp;IF('Tabelle 14'!$C$6=AB7,'Tabelle 14'!$R$6,"")&amp;IF('Tabelle 14'!$C$7=AB7,'Tabelle 14'!$R$7,"")&amp;IF('Tabelle 14'!$C$8=AB7,'Tabelle 14'!$R$8,"")&amp;IF('Tabelle 14'!$C$9=AB7,'Tabelle 14'!$R$9,"")&amp;IF('Tabelle 14'!$C$10=AB7,'Tabelle 14'!$R$10,"")&amp;IF('Tabelle 14'!$C$11=AB7,'Tabelle 14'!$R$11,"")&amp;IF('Tabelle 14'!$C$12=AB7,'Tabelle 14'!$R$12,"")&amp;IF('Tabelle 14'!$C$13=AB7,'Tabelle 14'!$R$13,"")&amp;IF('Tabelle 14'!$C$14=AB7,'Tabelle 14'!$R$14,"")&amp;IF('Tabelle 14'!$C$15=AB7,'Tabelle 14'!$R$15,"")&amp;IF('Tabelle 14'!$C$16=AB7,'Tabelle 14'!$R$16,"")&amp;IF('Tabelle 14'!$C$17=AB7,'Tabelle 14'!$R$17,"")&amp;IF('Tabelle 14'!$C$18=AB7,'Tabelle 14'!$R$18,"")</f>
        <v> </v>
      </c>
      <c r="AT7" s="90">
        <v>3</v>
      </c>
      <c r="AU7" s="3">
        <f>'Tabelle 14'!N7</f>
        <v>0.12</v>
      </c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2:77" ht="24.75" customHeight="1">
      <c r="B8" s="10">
        <v>4</v>
      </c>
      <c r="C8" s="24" t="str">
        <f t="shared" si="0"/>
        <v>Spieler 4</v>
      </c>
      <c r="D8" s="52" t="str">
        <f t="shared" si="7"/>
        <v> </v>
      </c>
      <c r="E8" s="52" t="str">
        <f t="shared" si="10"/>
        <v> </v>
      </c>
      <c r="F8" s="52" t="str">
        <f aca="true" t="shared" si="12" ref="F8:F18">AE46</f>
        <v> </v>
      </c>
      <c r="G8" s="63"/>
      <c r="H8" s="52" t="str">
        <f aca="true" t="shared" si="13" ref="H8:Q8">AG46</f>
        <v> </v>
      </c>
      <c r="I8" s="52" t="str">
        <f t="shared" si="13"/>
        <v> </v>
      </c>
      <c r="J8" s="52" t="str">
        <f t="shared" si="13"/>
        <v> </v>
      </c>
      <c r="K8" s="52" t="str">
        <f t="shared" si="13"/>
        <v> </v>
      </c>
      <c r="L8" s="52" t="str">
        <f t="shared" si="13"/>
        <v> </v>
      </c>
      <c r="M8" s="52" t="str">
        <f t="shared" si="13"/>
        <v> </v>
      </c>
      <c r="N8" s="52" t="str">
        <f t="shared" si="13"/>
        <v> </v>
      </c>
      <c r="O8" s="52" t="str">
        <f t="shared" si="13"/>
        <v> </v>
      </c>
      <c r="P8" s="52" t="str">
        <f t="shared" si="13"/>
        <v> </v>
      </c>
      <c r="Q8" s="27" t="str">
        <f t="shared" si="13"/>
        <v> </v>
      </c>
      <c r="R8" s="76" t="str">
        <f t="shared" si="2"/>
        <v> </v>
      </c>
      <c r="S8" s="74">
        <f t="shared" si="3"/>
      </c>
      <c r="T8" s="57" t="str">
        <f t="shared" si="4"/>
        <v> </v>
      </c>
      <c r="U8" s="2"/>
      <c r="V8" s="2"/>
      <c r="W8" s="2"/>
      <c r="X8" s="2"/>
      <c r="Y8" s="2"/>
      <c r="Z8" s="2">
        <f t="shared" si="9"/>
        <v>4</v>
      </c>
      <c r="AA8" s="10">
        <v>4</v>
      </c>
      <c r="AB8" s="24" t="str">
        <f>Eingabe!$C$9</f>
        <v>Spieler 4</v>
      </c>
      <c r="AC8" s="52" t="str">
        <f>'14 Spieler'!$O$28</f>
        <v> </v>
      </c>
      <c r="AD8" s="52" t="str">
        <f>'14 Spieler'!$AG$35</f>
        <v> </v>
      </c>
      <c r="AE8" s="52" t="str">
        <f>'14 Spieler'!$G$29</f>
        <v> </v>
      </c>
      <c r="AF8" s="63" t="s">
        <v>21</v>
      </c>
      <c r="AG8" s="52" t="str">
        <f>'14 Spieler'!$AG$18</f>
        <v> </v>
      </c>
      <c r="AH8" s="52" t="str">
        <f>'14 Spieler'!$O$35</f>
        <v> </v>
      </c>
      <c r="AI8" s="52" t="str">
        <f>'14 Spieler'!$Y$17</f>
        <v> </v>
      </c>
      <c r="AJ8" s="52" t="str">
        <f>'14 Spieler'!$G$36</f>
        <v> </v>
      </c>
      <c r="AK8" s="52" t="str">
        <f>'14 Spieler'!$Q$16</f>
        <v> </v>
      </c>
      <c r="AL8" s="52" t="str">
        <f>'14 Spieler'!$AE$26</f>
        <v> </v>
      </c>
      <c r="AM8" s="52" t="str">
        <f>'14 Spieler'!$I$15</f>
        <v> </v>
      </c>
      <c r="AN8" s="52" t="str">
        <f>'14 Spieler'!$W$27</f>
        <v> </v>
      </c>
      <c r="AO8" s="52" t="str">
        <f>'14 Spieler'!$I$47</f>
        <v> </v>
      </c>
      <c r="AP8" s="27" t="str">
        <f>'14 Spieler'!$W$34</f>
        <v> </v>
      </c>
      <c r="AQ8" s="76" t="str">
        <f t="shared" si="5"/>
        <v> </v>
      </c>
      <c r="AR8" s="74">
        <f t="shared" si="6"/>
      </c>
      <c r="AS8" s="57" t="str">
        <f>IF('Tabelle 14'!$C$5=AB8,'Tabelle 14'!$R$5,"")&amp;IF('Tabelle 14'!$C$6=AB8,'Tabelle 14'!$R$6,"")&amp;IF('Tabelle 14'!$C$7=AB8,'Tabelle 14'!$R$7,"")&amp;IF('Tabelle 14'!$C$8=AB8,'Tabelle 14'!$R$8,"")&amp;IF('Tabelle 14'!$C$9=AB8,'Tabelle 14'!$R$9,"")&amp;IF('Tabelle 14'!$C$10=AB8,'Tabelle 14'!$R$10,"")&amp;IF('Tabelle 14'!$C$11=AB8,'Tabelle 14'!$R$11,"")&amp;IF('Tabelle 14'!$C$12=AB8,'Tabelle 14'!$R$12,"")&amp;IF('Tabelle 14'!$C$13=AB8,'Tabelle 14'!$R$13,"")&amp;IF('Tabelle 14'!$C$14=AB8,'Tabelle 14'!$R$14,"")&amp;IF('Tabelle 14'!$C$15=AB8,'Tabelle 14'!$R$15,"")&amp;IF('Tabelle 14'!$C$16=AB8,'Tabelle 14'!$R$16,"")&amp;IF('Tabelle 14'!$C$17=AB8,'Tabelle 14'!$R$17,"")&amp;IF('Tabelle 14'!$C$18=AB8,'Tabelle 14'!$R$18,"")</f>
        <v> </v>
      </c>
      <c r="AT8" s="91">
        <v>4</v>
      </c>
      <c r="AU8" s="3">
        <f>'Tabelle 14'!N8</f>
        <v>0.11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2:77" ht="24.75" customHeight="1">
      <c r="B9" s="10">
        <v>5</v>
      </c>
      <c r="C9" s="24" t="str">
        <f t="shared" si="0"/>
        <v>Spieler 5</v>
      </c>
      <c r="D9" s="52" t="str">
        <f t="shared" si="7"/>
        <v> </v>
      </c>
      <c r="E9" s="52" t="str">
        <f t="shared" si="10"/>
        <v> </v>
      </c>
      <c r="F9" s="52" t="str">
        <f t="shared" si="12"/>
        <v> </v>
      </c>
      <c r="G9" s="52" t="str">
        <f aca="true" t="shared" si="14" ref="G9:G18">AF47</f>
        <v> </v>
      </c>
      <c r="H9" s="63"/>
      <c r="I9" s="52" t="str">
        <f aca="true" t="shared" si="15" ref="I9:Q9">AH47</f>
        <v> </v>
      </c>
      <c r="J9" s="52" t="str">
        <f t="shared" si="15"/>
        <v> </v>
      </c>
      <c r="K9" s="52" t="str">
        <f t="shared" si="15"/>
        <v> </v>
      </c>
      <c r="L9" s="52" t="str">
        <f t="shared" si="15"/>
        <v> </v>
      </c>
      <c r="M9" s="52" t="str">
        <f t="shared" si="15"/>
        <v> </v>
      </c>
      <c r="N9" s="52" t="str">
        <f t="shared" si="15"/>
        <v> </v>
      </c>
      <c r="O9" s="52" t="str">
        <f t="shared" si="15"/>
        <v> </v>
      </c>
      <c r="P9" s="52" t="str">
        <f t="shared" si="15"/>
        <v> </v>
      </c>
      <c r="Q9" s="27" t="str">
        <f t="shared" si="15"/>
        <v> </v>
      </c>
      <c r="R9" s="76" t="str">
        <f t="shared" si="2"/>
        <v> </v>
      </c>
      <c r="S9" s="74">
        <f t="shared" si="3"/>
      </c>
      <c r="T9" s="57" t="str">
        <f t="shared" si="4"/>
        <v> </v>
      </c>
      <c r="U9" s="2"/>
      <c r="V9" s="2"/>
      <c r="W9" s="2"/>
      <c r="X9" s="2"/>
      <c r="Y9" s="2"/>
      <c r="Z9" s="2">
        <f t="shared" si="9"/>
        <v>5</v>
      </c>
      <c r="AA9" s="10">
        <v>5</v>
      </c>
      <c r="AB9" s="24" t="str">
        <f>Eingabe!$C$10</f>
        <v>Spieler 5</v>
      </c>
      <c r="AC9" s="52" t="str">
        <f>'14 Spieler'!$AG$36</f>
        <v> </v>
      </c>
      <c r="AD9" s="52" t="str">
        <f>'14 Spieler'!$G$28</f>
        <v> </v>
      </c>
      <c r="AE9" s="52" t="str">
        <f>'14 Spieler'!$Y$35</f>
        <v> </v>
      </c>
      <c r="AF9" s="52" t="str">
        <f>'14 Spieler'!$AE$18</f>
        <v> </v>
      </c>
      <c r="AG9" s="63" t="s">
        <v>21</v>
      </c>
      <c r="AH9" s="52" t="str">
        <f>'14 Spieler'!$Y$18</f>
        <v> </v>
      </c>
      <c r="AI9" s="52" t="str">
        <f>'14 Spieler'!$G$35</f>
        <v> </v>
      </c>
      <c r="AJ9" s="52" t="str">
        <f>'14 Spieler'!$Q$17</f>
        <v> </v>
      </c>
      <c r="AK9" s="52" t="str">
        <f>'14 Spieler'!$AE$25</f>
        <v> </v>
      </c>
      <c r="AL9" s="52" t="str">
        <f>'14 Spieler'!$I$16</f>
        <v> </v>
      </c>
      <c r="AM9" s="52" t="str">
        <f>'14 Spieler'!$W$26</f>
        <v> </v>
      </c>
      <c r="AN9" s="52" t="str">
        <f>'14 Spieler'!$I$48</f>
        <v> </v>
      </c>
      <c r="AO9" s="52" t="str">
        <f>'14 Spieler'!$O$27</f>
        <v> </v>
      </c>
      <c r="AP9" s="27" t="str">
        <f>'14 Spieler'!$O$34</f>
        <v> </v>
      </c>
      <c r="AQ9" s="76" t="str">
        <f t="shared" si="5"/>
        <v> </v>
      </c>
      <c r="AR9" s="74">
        <f t="shared" si="6"/>
      </c>
      <c r="AS9" s="57" t="str">
        <f>IF('Tabelle 14'!$C$5=AB9,'Tabelle 14'!$R$5,"")&amp;IF('Tabelle 14'!$C$6=AB9,'Tabelle 14'!$R$6,"")&amp;IF('Tabelle 14'!$C$7=AB9,'Tabelle 14'!$R$7,"")&amp;IF('Tabelle 14'!$C$8=AB9,'Tabelle 14'!$R$8,"")&amp;IF('Tabelle 14'!$C$9=AB9,'Tabelle 14'!$R$9,"")&amp;IF('Tabelle 14'!$C$10=AB9,'Tabelle 14'!$R$10,"")&amp;IF('Tabelle 14'!$C$11=AB9,'Tabelle 14'!$R$11,"")&amp;IF('Tabelle 14'!$C$12=AB9,'Tabelle 14'!$R$12,"")&amp;IF('Tabelle 14'!$C$13=AB9,'Tabelle 14'!$R$13,"")&amp;IF('Tabelle 14'!$C$14=AB9,'Tabelle 14'!$R$14,"")&amp;IF('Tabelle 14'!$C$15=AB9,'Tabelle 14'!$R$15,"")&amp;IF('Tabelle 14'!$C$16=AB9,'Tabelle 14'!$R$16,"")&amp;IF('Tabelle 14'!$C$17=AB9,'Tabelle 14'!$R$17,"")&amp;IF('Tabelle 14'!$C$18=AB9,'Tabelle 14'!$R$18,"")</f>
        <v> </v>
      </c>
      <c r="AT9" s="91">
        <v>5</v>
      </c>
      <c r="AU9" s="3">
        <f>'Tabelle 14'!N9</f>
        <v>0.1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2:77" ht="24.75" customHeight="1">
      <c r="B10" s="10">
        <v>6</v>
      </c>
      <c r="C10" s="24" t="str">
        <f t="shared" si="0"/>
        <v>Spieler 6</v>
      </c>
      <c r="D10" s="52" t="str">
        <f t="shared" si="7"/>
        <v> </v>
      </c>
      <c r="E10" s="52" t="str">
        <f t="shared" si="10"/>
        <v> </v>
      </c>
      <c r="F10" s="52" t="str">
        <f t="shared" si="12"/>
        <v> </v>
      </c>
      <c r="G10" s="52" t="str">
        <f t="shared" si="14"/>
        <v> </v>
      </c>
      <c r="H10" s="52" t="str">
        <f aca="true" t="shared" si="16" ref="H10:H18">AG48</f>
        <v> </v>
      </c>
      <c r="I10" s="63"/>
      <c r="J10" s="52" t="str">
        <f aca="true" t="shared" si="17" ref="J10:Q10">AI48</f>
        <v> </v>
      </c>
      <c r="K10" s="52" t="str">
        <f t="shared" si="17"/>
        <v> </v>
      </c>
      <c r="L10" s="52" t="str">
        <f t="shared" si="17"/>
        <v> </v>
      </c>
      <c r="M10" s="52" t="str">
        <f t="shared" si="17"/>
        <v> </v>
      </c>
      <c r="N10" s="52" t="str">
        <f t="shared" si="17"/>
        <v> </v>
      </c>
      <c r="O10" s="52" t="str">
        <f t="shared" si="17"/>
        <v> </v>
      </c>
      <c r="P10" s="52" t="str">
        <f t="shared" si="17"/>
        <v> </v>
      </c>
      <c r="Q10" s="27" t="str">
        <f t="shared" si="17"/>
        <v> </v>
      </c>
      <c r="R10" s="76" t="str">
        <f t="shared" si="2"/>
        <v> </v>
      </c>
      <c r="S10" s="74">
        <f t="shared" si="3"/>
      </c>
      <c r="T10" s="57" t="str">
        <f t="shared" si="4"/>
        <v> </v>
      </c>
      <c r="U10" s="2"/>
      <c r="V10" s="2"/>
      <c r="W10" s="2"/>
      <c r="X10" s="2"/>
      <c r="Y10" s="2"/>
      <c r="Z10" s="2">
        <f t="shared" si="9"/>
        <v>6</v>
      </c>
      <c r="AA10" s="10">
        <v>6</v>
      </c>
      <c r="AB10" s="24" t="str">
        <f>Eingabe!$C$11</f>
        <v>Spieler 6</v>
      </c>
      <c r="AC10" s="52" t="str">
        <f>'14 Spieler'!$G$27</f>
        <v> </v>
      </c>
      <c r="AD10" s="52" t="str">
        <f>'14 Spieler'!$Y$36</f>
        <v> </v>
      </c>
      <c r="AE10" s="52" t="str">
        <f>'14 Spieler'!$AE$17</f>
        <v> </v>
      </c>
      <c r="AF10" s="52" t="str">
        <f>'14 Spieler'!$Q$35</f>
        <v> </v>
      </c>
      <c r="AG10" s="52" t="str">
        <f>'14 Spieler'!$W$18</f>
        <v> </v>
      </c>
      <c r="AH10" s="63" t="s">
        <v>21</v>
      </c>
      <c r="AI10" s="52" t="str">
        <f>'14 Spieler'!$Q$18</f>
        <v> </v>
      </c>
      <c r="AJ10" s="52" t="str">
        <f>'14 Spieler'!$AE$24</f>
        <v> </v>
      </c>
      <c r="AK10" s="52" t="str">
        <f>'14 Spieler'!$I$17</f>
        <v> </v>
      </c>
      <c r="AL10" s="52" t="str">
        <f>'14 Spieler'!$W$25</f>
        <v> </v>
      </c>
      <c r="AM10" s="52" t="str">
        <f>'14 Spieler'!$I$49</f>
        <v> </v>
      </c>
      <c r="AN10" s="52" t="str">
        <f>'14 Spieler'!$O$26</f>
        <v> </v>
      </c>
      <c r="AO10" s="52" t="str">
        <f>'14 Spieler'!$AG$37</f>
        <v> </v>
      </c>
      <c r="AP10" s="27" t="str">
        <f>'14 Spieler'!$G$34</f>
        <v> </v>
      </c>
      <c r="AQ10" s="76" t="str">
        <f t="shared" si="5"/>
        <v> </v>
      </c>
      <c r="AR10" s="74">
        <f t="shared" si="6"/>
      </c>
      <c r="AS10" s="57" t="str">
        <f>IF('Tabelle 14'!$C$5=AB10,'Tabelle 14'!$R$5,"")&amp;IF('Tabelle 14'!$C$6=AB10,'Tabelle 14'!$R$6,"")&amp;IF('Tabelle 14'!$C$7=AB10,'Tabelle 14'!$R$7,"")&amp;IF('Tabelle 14'!$C$8=AB10,'Tabelle 14'!$R$8,"")&amp;IF('Tabelle 14'!$C$9=AB10,'Tabelle 14'!$R$9,"")&amp;IF('Tabelle 14'!$C$10=AB10,'Tabelle 14'!$R$10,"")&amp;IF('Tabelle 14'!$C$11=AB10,'Tabelle 14'!$R$11,"")&amp;IF('Tabelle 14'!$C$12=AB10,'Tabelle 14'!$R$12,"")&amp;IF('Tabelle 14'!$C$13=AB10,'Tabelle 14'!$R$13,"")&amp;IF('Tabelle 14'!$C$14=AB10,'Tabelle 14'!$R$14,"")&amp;IF('Tabelle 14'!$C$15=AB10,'Tabelle 14'!$R$15,"")&amp;IF('Tabelle 14'!$C$16=AB10,'Tabelle 14'!$R$16,"")&amp;IF('Tabelle 14'!$C$17=AB10,'Tabelle 14'!$R$17,"")&amp;IF('Tabelle 14'!$C$18=AB10,'Tabelle 14'!$R$18,"")</f>
        <v> </v>
      </c>
      <c r="AT10" s="91">
        <v>6</v>
      </c>
      <c r="AU10" s="3">
        <f>'Tabelle 14'!N10</f>
        <v>0.09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2:77" ht="24.75" customHeight="1">
      <c r="B11" s="10">
        <v>7</v>
      </c>
      <c r="C11" s="24" t="str">
        <f t="shared" si="0"/>
        <v>Spieler 7</v>
      </c>
      <c r="D11" s="52" t="str">
        <f t="shared" si="7"/>
        <v> </v>
      </c>
      <c r="E11" s="52" t="str">
        <f t="shared" si="10"/>
        <v> </v>
      </c>
      <c r="F11" s="52" t="str">
        <f t="shared" si="12"/>
        <v> </v>
      </c>
      <c r="G11" s="52" t="str">
        <f t="shared" si="14"/>
        <v> </v>
      </c>
      <c r="H11" s="52" t="str">
        <f t="shared" si="16"/>
        <v> </v>
      </c>
      <c r="I11" s="52" t="str">
        <f aca="true" t="shared" si="18" ref="I11:I18">AH49</f>
        <v> </v>
      </c>
      <c r="J11" s="63"/>
      <c r="K11" s="52" t="str">
        <f aca="true" t="shared" si="19" ref="K11:Q11">AJ49</f>
        <v> </v>
      </c>
      <c r="L11" s="52" t="str">
        <f t="shared" si="19"/>
        <v> </v>
      </c>
      <c r="M11" s="52" t="str">
        <f t="shared" si="19"/>
        <v> </v>
      </c>
      <c r="N11" s="52" t="str">
        <f t="shared" si="19"/>
        <v> </v>
      </c>
      <c r="O11" s="52" t="str">
        <f t="shared" si="19"/>
        <v> </v>
      </c>
      <c r="P11" s="52" t="str">
        <f t="shared" si="19"/>
        <v> </v>
      </c>
      <c r="Q11" s="27" t="str">
        <f t="shared" si="19"/>
        <v> </v>
      </c>
      <c r="R11" s="76" t="str">
        <f t="shared" si="2"/>
        <v> </v>
      </c>
      <c r="S11" s="74">
        <f t="shared" si="3"/>
      </c>
      <c r="T11" s="57" t="str">
        <f t="shared" si="4"/>
        <v> </v>
      </c>
      <c r="U11" s="2"/>
      <c r="V11" s="2"/>
      <c r="W11" s="2"/>
      <c r="X11" s="2"/>
      <c r="Y11" s="2"/>
      <c r="Z11" s="2">
        <f t="shared" si="9"/>
        <v>7</v>
      </c>
      <c r="AA11" s="10">
        <v>7</v>
      </c>
      <c r="AB11" s="24" t="str">
        <f>Eingabe!$C$12</f>
        <v>Spieler 7</v>
      </c>
      <c r="AC11" s="52" t="str">
        <f>'14 Spieler'!$Y$37</f>
        <v> </v>
      </c>
      <c r="AD11" s="52" t="str">
        <f>'14 Spieler'!$AE$16</f>
        <v> </v>
      </c>
      <c r="AE11" s="52" t="str">
        <f>'14 Spieler'!$Q$36</f>
        <v> </v>
      </c>
      <c r="AF11" s="52" t="str">
        <f>'14 Spieler'!$W$17</f>
        <v> </v>
      </c>
      <c r="AG11" s="52" t="str">
        <f>'14 Spieler'!$I$35</f>
        <v> </v>
      </c>
      <c r="AH11" s="52" t="str">
        <f>'14 Spieler'!$O$18</f>
        <v> </v>
      </c>
      <c r="AI11" s="63" t="s">
        <v>21</v>
      </c>
      <c r="AJ11" s="52" t="str">
        <f>'14 Spieler'!$I$18</f>
        <v> </v>
      </c>
      <c r="AK11" s="52" t="str">
        <f>'14 Spieler'!$W$24</f>
        <v> </v>
      </c>
      <c r="AL11" s="52" t="str">
        <f>'14 Spieler'!$I$50</f>
        <v> </v>
      </c>
      <c r="AM11" s="52" t="str">
        <f>'14 Spieler'!$O$25</f>
        <v> </v>
      </c>
      <c r="AN11" s="52" t="str">
        <f>'14 Spieler'!$AG$38</f>
        <v> </v>
      </c>
      <c r="AO11" s="52" t="str">
        <f>'14 Spieler'!$G$26</f>
        <v> </v>
      </c>
      <c r="AP11" s="27" t="str">
        <f>'14 Spieler'!$AE$23</f>
        <v> </v>
      </c>
      <c r="AQ11" s="76" t="str">
        <f t="shared" si="5"/>
        <v> </v>
      </c>
      <c r="AR11" s="74">
        <f t="shared" si="6"/>
      </c>
      <c r="AS11" s="57" t="str">
        <f>IF('Tabelle 14'!$C$5=AB11,'Tabelle 14'!$R$5,"")&amp;IF('Tabelle 14'!$C$6=AB11,'Tabelle 14'!$R$6,"")&amp;IF('Tabelle 14'!$C$7=AB11,'Tabelle 14'!$R$7,"")&amp;IF('Tabelle 14'!$C$8=AB11,'Tabelle 14'!$R$8,"")&amp;IF('Tabelle 14'!$C$9=AB11,'Tabelle 14'!$R$9,"")&amp;IF('Tabelle 14'!$C$10=AB11,'Tabelle 14'!$R$10,"")&amp;IF('Tabelle 14'!$C$11=AB11,'Tabelle 14'!$R$11,"")&amp;IF('Tabelle 14'!$C$12=AB11,'Tabelle 14'!$R$12,"")&amp;IF('Tabelle 14'!$C$13=AB11,'Tabelle 14'!$R$13,"")&amp;IF('Tabelle 14'!$C$14=AB11,'Tabelle 14'!$R$14,"")&amp;IF('Tabelle 14'!$C$15=AB11,'Tabelle 14'!$R$15,"")&amp;IF('Tabelle 14'!$C$16=AB11,'Tabelle 14'!$R$16,"")&amp;IF('Tabelle 14'!$C$17=AB11,'Tabelle 14'!$R$17,"")&amp;IF('Tabelle 14'!$C$18=AB11,'Tabelle 14'!$R$18,"")</f>
        <v> </v>
      </c>
      <c r="AT11" s="91">
        <v>7</v>
      </c>
      <c r="AU11" s="3">
        <f>'Tabelle 14'!N11</f>
        <v>0.08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2:77" ht="24.75" customHeight="1">
      <c r="B12" s="10">
        <v>8</v>
      </c>
      <c r="C12" s="24" t="str">
        <f t="shared" si="0"/>
        <v>Spieler 8</v>
      </c>
      <c r="D12" s="52" t="str">
        <f t="shared" si="7"/>
        <v> </v>
      </c>
      <c r="E12" s="52" t="str">
        <f t="shared" si="10"/>
        <v> </v>
      </c>
      <c r="F12" s="52" t="str">
        <f t="shared" si="12"/>
        <v> </v>
      </c>
      <c r="G12" s="52" t="str">
        <f t="shared" si="14"/>
        <v> </v>
      </c>
      <c r="H12" s="52" t="str">
        <f t="shared" si="16"/>
        <v> </v>
      </c>
      <c r="I12" s="52" t="str">
        <f t="shared" si="18"/>
        <v> </v>
      </c>
      <c r="J12" s="52" t="str">
        <f aca="true" t="shared" si="20" ref="J12:J18">AI50</f>
        <v> </v>
      </c>
      <c r="K12" s="63"/>
      <c r="L12" s="52" t="str">
        <f aca="true" t="shared" si="21" ref="L12:Q12">AK50</f>
        <v> </v>
      </c>
      <c r="M12" s="52" t="str">
        <f t="shared" si="21"/>
        <v> </v>
      </c>
      <c r="N12" s="52" t="str">
        <f t="shared" si="21"/>
        <v> </v>
      </c>
      <c r="O12" s="52" t="str">
        <f t="shared" si="21"/>
        <v> </v>
      </c>
      <c r="P12" s="52" t="str">
        <f t="shared" si="21"/>
        <v> </v>
      </c>
      <c r="Q12" s="27" t="str">
        <f t="shared" si="21"/>
        <v> </v>
      </c>
      <c r="R12" s="76" t="str">
        <f t="shared" si="2"/>
        <v> </v>
      </c>
      <c r="S12" s="74">
        <f t="shared" si="3"/>
      </c>
      <c r="T12" s="57" t="str">
        <f t="shared" si="4"/>
        <v> </v>
      </c>
      <c r="U12" s="2"/>
      <c r="V12" s="2"/>
      <c r="W12" s="2"/>
      <c r="X12" s="2"/>
      <c r="Y12" s="2"/>
      <c r="Z12" s="2">
        <f t="shared" si="9"/>
        <v>8</v>
      </c>
      <c r="AA12" s="10">
        <v>8</v>
      </c>
      <c r="AB12" s="24" t="str">
        <f>Eingabe!$C$13</f>
        <v>Spieler 8</v>
      </c>
      <c r="AC12" s="52" t="str">
        <f>'14 Spieler'!$AE$15</f>
        <v> </v>
      </c>
      <c r="AD12" s="52" t="str">
        <f>'14 Spieler'!$Q$37</f>
        <v> </v>
      </c>
      <c r="AE12" s="52" t="str">
        <f>'14 Spieler'!$W$16</f>
        <v> </v>
      </c>
      <c r="AF12" s="52" t="str">
        <f>'14 Spieler'!$I$36</f>
        <v> </v>
      </c>
      <c r="AG12" s="52" t="str">
        <f>'14 Spieler'!$O$17</f>
        <v> </v>
      </c>
      <c r="AH12" s="52" t="str">
        <f>'14 Spieler'!$AG$24</f>
        <v> </v>
      </c>
      <c r="AI12" s="52" t="str">
        <f>'14 Spieler'!$G$18</f>
        <v> </v>
      </c>
      <c r="AJ12" s="63" t="s">
        <v>21</v>
      </c>
      <c r="AK12" s="52" t="str">
        <f>'14 Spieler'!$I$51</f>
        <v> </v>
      </c>
      <c r="AL12" s="52" t="str">
        <f>'14 Spieler'!$O$24</f>
        <v> </v>
      </c>
      <c r="AM12" s="52" t="str">
        <f>'14 Spieler'!$AG$39</f>
        <v> </v>
      </c>
      <c r="AN12" s="52" t="str">
        <f>'14 Spieler'!$G$25</f>
        <v> </v>
      </c>
      <c r="AO12" s="52" t="str">
        <f>'14 Spieler'!$Y$38</f>
        <v> </v>
      </c>
      <c r="AP12" s="27" t="str">
        <f>'14 Spieler'!$W$23</f>
        <v> </v>
      </c>
      <c r="AQ12" s="76" t="str">
        <f t="shared" si="5"/>
        <v> </v>
      </c>
      <c r="AR12" s="74">
        <f t="shared" si="6"/>
      </c>
      <c r="AS12" s="57" t="str">
        <f>IF('Tabelle 14'!$C$5=AB12,'Tabelle 14'!$R$5,"")&amp;IF('Tabelle 14'!$C$6=AB12,'Tabelle 14'!$R$6,"")&amp;IF('Tabelle 14'!$C$7=AB12,'Tabelle 14'!$R$7,"")&amp;IF('Tabelle 14'!$C$8=AB12,'Tabelle 14'!$R$8,"")&amp;IF('Tabelle 14'!$C$9=AB12,'Tabelle 14'!$R$9,"")&amp;IF('Tabelle 14'!$C$10=AB12,'Tabelle 14'!$R$10,"")&amp;IF('Tabelle 14'!$C$11=AB12,'Tabelle 14'!$R$11,"")&amp;IF('Tabelle 14'!$C$12=AB12,'Tabelle 14'!$R$12,"")&amp;IF('Tabelle 14'!$C$13=AB12,'Tabelle 14'!$R$13,"")&amp;IF('Tabelle 14'!$C$14=AB12,'Tabelle 14'!$R$14,"")&amp;IF('Tabelle 14'!$C$15=AB12,'Tabelle 14'!$R$15,"")&amp;IF('Tabelle 14'!$C$16=AB12,'Tabelle 14'!$R$16,"")&amp;IF('Tabelle 14'!$C$17=AB12,'Tabelle 14'!$R$17,"")&amp;IF('Tabelle 14'!$C$18=AB12,'Tabelle 14'!$R$18,"")</f>
        <v> </v>
      </c>
      <c r="AT12" s="91">
        <v>8</v>
      </c>
      <c r="AU12" s="3">
        <f>'Tabelle 14'!N12</f>
        <v>0.07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2:77" ht="24.75" customHeight="1">
      <c r="B13" s="10">
        <v>9</v>
      </c>
      <c r="C13" s="24" t="str">
        <f t="shared" si="0"/>
        <v>Spieler 9</v>
      </c>
      <c r="D13" s="52" t="str">
        <f t="shared" si="7"/>
        <v> </v>
      </c>
      <c r="E13" s="52" t="str">
        <f t="shared" si="10"/>
        <v> </v>
      </c>
      <c r="F13" s="52" t="str">
        <f t="shared" si="12"/>
        <v> </v>
      </c>
      <c r="G13" s="52" t="str">
        <f t="shared" si="14"/>
        <v> </v>
      </c>
      <c r="H13" s="52" t="str">
        <f t="shared" si="16"/>
        <v> </v>
      </c>
      <c r="I13" s="52" t="str">
        <f t="shared" si="18"/>
        <v> </v>
      </c>
      <c r="J13" s="52" t="str">
        <f t="shared" si="20"/>
        <v> </v>
      </c>
      <c r="K13" s="52" t="str">
        <f aca="true" t="shared" si="22" ref="K13:K18">AJ51</f>
        <v> </v>
      </c>
      <c r="L13" s="63"/>
      <c r="M13" s="52" t="str">
        <f>AL51</f>
        <v> </v>
      </c>
      <c r="N13" s="52" t="str">
        <f>AM51</f>
        <v> </v>
      </c>
      <c r="O13" s="52" t="str">
        <f>AN51</f>
        <v> </v>
      </c>
      <c r="P13" s="52" t="str">
        <f>AO51</f>
        <v> </v>
      </c>
      <c r="Q13" s="27" t="str">
        <f>AP51</f>
        <v> </v>
      </c>
      <c r="R13" s="76" t="str">
        <f t="shared" si="2"/>
        <v> </v>
      </c>
      <c r="S13" s="74">
        <f t="shared" si="3"/>
      </c>
      <c r="T13" s="57" t="str">
        <f t="shared" si="4"/>
        <v> </v>
      </c>
      <c r="U13" s="2"/>
      <c r="V13" s="2"/>
      <c r="W13" s="2"/>
      <c r="X13" s="2"/>
      <c r="Y13" s="2"/>
      <c r="Z13" s="2">
        <f t="shared" si="9"/>
        <v>9</v>
      </c>
      <c r="AA13" s="10">
        <v>9</v>
      </c>
      <c r="AB13" s="24" t="str">
        <f>Eingabe!$C$14</f>
        <v>Spieler 9</v>
      </c>
      <c r="AC13" s="52" t="str">
        <f>'14 Spieler'!$Q$38</f>
        <v> </v>
      </c>
      <c r="AD13" s="52" t="str">
        <f>'14 Spieler'!$W$15</f>
        <v> </v>
      </c>
      <c r="AE13" s="52" t="str">
        <f>'14 Spieler'!$I$37</f>
        <v> </v>
      </c>
      <c r="AF13" s="52" t="str">
        <f>'14 Spieler'!$O$16</f>
        <v> </v>
      </c>
      <c r="AG13" s="52" t="str">
        <f>'14 Spieler'!$AG$25</f>
        <v> </v>
      </c>
      <c r="AH13" s="52" t="str">
        <f>'14 Spieler'!$G$17</f>
        <v> </v>
      </c>
      <c r="AI13" s="52" t="str">
        <f>'14 Spieler'!$Y$24</f>
        <v> </v>
      </c>
      <c r="AJ13" s="52" t="str">
        <f>'14 Spieler'!$G$51</f>
        <v> </v>
      </c>
      <c r="AK13" s="63" t="s">
        <v>21</v>
      </c>
      <c r="AL13" s="52" t="str">
        <f>'14 Spieler'!$AG$40</f>
        <v> </v>
      </c>
      <c r="AM13" s="52" t="str">
        <f>'14 Spieler'!$G$24</f>
        <v> </v>
      </c>
      <c r="AN13" s="52" t="str">
        <f>'14 Spieler'!$Y$39</f>
        <v> </v>
      </c>
      <c r="AO13" s="52" t="str">
        <f>'14 Spieler'!$AE$14</f>
        <v> </v>
      </c>
      <c r="AP13" s="27" t="str">
        <f>'14 Spieler'!$O$23</f>
        <v> </v>
      </c>
      <c r="AQ13" s="76" t="str">
        <f t="shared" si="5"/>
        <v> </v>
      </c>
      <c r="AR13" s="74">
        <f t="shared" si="6"/>
      </c>
      <c r="AS13" s="57" t="str">
        <f>IF('Tabelle 14'!$C$5=AB13,'Tabelle 14'!$R$5,"")&amp;IF('Tabelle 14'!$C$6=AB13,'Tabelle 14'!$R$6,"")&amp;IF('Tabelle 14'!$C$7=AB13,'Tabelle 14'!$R$7,"")&amp;IF('Tabelle 14'!$C$8=AB13,'Tabelle 14'!$R$8,"")&amp;IF('Tabelle 14'!$C$9=AB13,'Tabelle 14'!$R$9,"")&amp;IF('Tabelle 14'!$C$10=AB13,'Tabelle 14'!$R$10,"")&amp;IF('Tabelle 14'!$C$11=AB13,'Tabelle 14'!$R$11,"")&amp;IF('Tabelle 14'!$C$12=AB13,'Tabelle 14'!$R$12,"")&amp;IF('Tabelle 14'!$C$13=AB13,'Tabelle 14'!$R$13,"")&amp;IF('Tabelle 14'!$C$14=AB13,'Tabelle 14'!$R$14,"")&amp;IF('Tabelle 14'!$C$15=AB13,'Tabelle 14'!$R$15,"")&amp;IF('Tabelle 14'!$C$16=AB13,'Tabelle 14'!$R$16,"")&amp;IF('Tabelle 14'!$C$17=AB13,'Tabelle 14'!$R$17,"")&amp;IF('Tabelle 14'!$C$18=AB13,'Tabelle 14'!$R$18,"")</f>
        <v> </v>
      </c>
      <c r="AT13" s="91">
        <v>9</v>
      </c>
      <c r="AU13" s="3">
        <f>'Tabelle 14'!N13</f>
        <v>0.06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2:77" ht="24.75" customHeight="1">
      <c r="B14" s="10">
        <v>10</v>
      </c>
      <c r="C14" s="24" t="str">
        <f t="shared" si="0"/>
        <v>Spieler 10</v>
      </c>
      <c r="D14" s="52" t="str">
        <f t="shared" si="7"/>
        <v> </v>
      </c>
      <c r="E14" s="52" t="str">
        <f t="shared" si="10"/>
        <v> </v>
      </c>
      <c r="F14" s="52" t="str">
        <f t="shared" si="12"/>
        <v> </v>
      </c>
      <c r="G14" s="52" t="str">
        <f t="shared" si="14"/>
        <v> </v>
      </c>
      <c r="H14" s="52" t="str">
        <f t="shared" si="16"/>
        <v> </v>
      </c>
      <c r="I14" s="52" t="str">
        <f t="shared" si="18"/>
        <v> </v>
      </c>
      <c r="J14" s="52" t="str">
        <f t="shared" si="20"/>
        <v> </v>
      </c>
      <c r="K14" s="52" t="str">
        <f t="shared" si="22"/>
        <v> </v>
      </c>
      <c r="L14" s="52" t="str">
        <f>AK52</f>
        <v> </v>
      </c>
      <c r="M14" s="63"/>
      <c r="N14" s="52" t="str">
        <f>AM52</f>
        <v> </v>
      </c>
      <c r="O14" s="52" t="str">
        <f>AN52</f>
        <v> </v>
      </c>
      <c r="P14" s="52" t="str">
        <f>AO52</f>
        <v> </v>
      </c>
      <c r="Q14" s="27" t="str">
        <f>AP52</f>
        <v> </v>
      </c>
      <c r="R14" s="76" t="str">
        <f t="shared" si="2"/>
        <v> </v>
      </c>
      <c r="S14" s="74">
        <f t="shared" si="3"/>
      </c>
      <c r="T14" s="57" t="str">
        <f t="shared" si="4"/>
        <v> </v>
      </c>
      <c r="U14" s="2"/>
      <c r="V14" s="2"/>
      <c r="W14" s="2"/>
      <c r="X14" s="2"/>
      <c r="Y14" s="2"/>
      <c r="Z14" s="2">
        <f t="shared" si="9"/>
        <v>10</v>
      </c>
      <c r="AA14" s="10">
        <v>10</v>
      </c>
      <c r="AB14" s="24" t="str">
        <f>Eingabe!$C$15</f>
        <v>Spieler 10</v>
      </c>
      <c r="AC14" s="52" t="str">
        <f>'14 Spieler'!$W$14</f>
        <v> </v>
      </c>
      <c r="AD14" s="52" t="str">
        <f>'14 Spieler'!$I$38</f>
        <v> </v>
      </c>
      <c r="AE14" s="52" t="str">
        <f>'14 Spieler'!$O$15</f>
        <v> </v>
      </c>
      <c r="AF14" s="52" t="str">
        <f>'14 Spieler'!$AG$26</f>
        <v> </v>
      </c>
      <c r="AG14" s="52" t="str">
        <f>'14 Spieler'!$G$16</f>
        <v> </v>
      </c>
      <c r="AH14" s="52" t="str">
        <f>'14 Spieler'!$Y$25</f>
        <v> </v>
      </c>
      <c r="AI14" s="52" t="str">
        <f>'14 Spieler'!$G$50</f>
        <v> </v>
      </c>
      <c r="AJ14" s="52" t="str">
        <f>'14 Spieler'!$Q$24</f>
        <v> </v>
      </c>
      <c r="AK14" s="52" t="str">
        <f>'14 Spieler'!$AE$40</f>
        <v> </v>
      </c>
      <c r="AL14" s="63" t="s">
        <v>21</v>
      </c>
      <c r="AM14" s="52" t="str">
        <f>'14 Spieler'!$Y$40</f>
        <v> </v>
      </c>
      <c r="AN14" s="52" t="str">
        <f>'14 Spieler'!$AE$13</f>
        <v> </v>
      </c>
      <c r="AO14" s="52" t="str">
        <f>'14 Spieler'!$Q$39</f>
        <v> </v>
      </c>
      <c r="AP14" s="27" t="str">
        <f>'14 Spieler'!$G$23</f>
        <v> </v>
      </c>
      <c r="AQ14" s="76" t="str">
        <f t="shared" si="5"/>
        <v> </v>
      </c>
      <c r="AR14" s="74">
        <f t="shared" si="6"/>
      </c>
      <c r="AS14" s="57" t="str">
        <f>IF('Tabelle 14'!$C$5=AB14,'Tabelle 14'!$R$5,"")&amp;IF('Tabelle 14'!$C$6=AB14,'Tabelle 14'!$R$6,"")&amp;IF('Tabelle 14'!$C$7=AB14,'Tabelle 14'!$R$7,"")&amp;IF('Tabelle 14'!$C$8=AB14,'Tabelle 14'!$R$8,"")&amp;IF('Tabelle 14'!$C$9=AB14,'Tabelle 14'!$R$9,"")&amp;IF('Tabelle 14'!$C$10=AB14,'Tabelle 14'!$R$10,"")&amp;IF('Tabelle 14'!$C$11=AB14,'Tabelle 14'!$R$11,"")&amp;IF('Tabelle 14'!$C$12=AB14,'Tabelle 14'!$R$12,"")&amp;IF('Tabelle 14'!$C$13=AB14,'Tabelle 14'!$R$13,"")&amp;IF('Tabelle 14'!$C$14=AB14,'Tabelle 14'!$R$14,"")&amp;IF('Tabelle 14'!$C$15=AB14,'Tabelle 14'!$R$15,"")&amp;IF('Tabelle 14'!$C$16=AB14,'Tabelle 14'!$R$16,"")&amp;IF('Tabelle 14'!$C$17=AB14,'Tabelle 14'!$R$17,"")&amp;IF('Tabelle 14'!$C$18=AB14,'Tabelle 14'!$R$18,"")</f>
        <v> </v>
      </c>
      <c r="AT14" s="91">
        <v>10</v>
      </c>
      <c r="AU14" s="3">
        <f>'Tabelle 14'!N14</f>
        <v>0.05</v>
      </c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2:77" ht="24.75" customHeight="1">
      <c r="B15" s="10">
        <v>11</v>
      </c>
      <c r="C15" s="24" t="str">
        <f t="shared" si="0"/>
        <v>Spieler 11</v>
      </c>
      <c r="D15" s="52" t="str">
        <f t="shared" si="7"/>
        <v> </v>
      </c>
      <c r="E15" s="52" t="str">
        <f t="shared" si="10"/>
        <v> </v>
      </c>
      <c r="F15" s="52" t="str">
        <f t="shared" si="12"/>
        <v> </v>
      </c>
      <c r="G15" s="52" t="str">
        <f t="shared" si="14"/>
        <v> </v>
      </c>
      <c r="H15" s="52" t="str">
        <f t="shared" si="16"/>
        <v> </v>
      </c>
      <c r="I15" s="52" t="str">
        <f t="shared" si="18"/>
        <v> </v>
      </c>
      <c r="J15" s="52" t="str">
        <f t="shared" si="20"/>
        <v> </v>
      </c>
      <c r="K15" s="52" t="str">
        <f t="shared" si="22"/>
        <v> </v>
      </c>
      <c r="L15" s="52" t="str">
        <f>AK53</f>
        <v> </v>
      </c>
      <c r="M15" s="52" t="str">
        <f>AL53</f>
        <v> </v>
      </c>
      <c r="N15" s="63"/>
      <c r="O15" s="52" t="str">
        <f>AN53</f>
        <v> </v>
      </c>
      <c r="P15" s="52" t="str">
        <f>AO53</f>
        <v> </v>
      </c>
      <c r="Q15" s="27" t="str">
        <f>AP53</f>
        <v> </v>
      </c>
      <c r="R15" s="76" t="str">
        <f t="shared" si="2"/>
        <v> </v>
      </c>
      <c r="S15" s="74">
        <f t="shared" si="3"/>
      </c>
      <c r="T15" s="57" t="str">
        <f t="shared" si="4"/>
        <v> </v>
      </c>
      <c r="U15" s="2"/>
      <c r="V15" s="2"/>
      <c r="W15" s="2"/>
      <c r="X15" s="2"/>
      <c r="Y15" s="2"/>
      <c r="Z15" s="2">
        <f t="shared" si="9"/>
        <v>11</v>
      </c>
      <c r="AA15" s="10">
        <v>11</v>
      </c>
      <c r="AB15" s="24" t="str">
        <f>Eingabe!$G$6</f>
        <v>Spieler 11</v>
      </c>
      <c r="AC15" s="52" t="str">
        <f>'14 Spieler'!$I$39</f>
        <v> </v>
      </c>
      <c r="AD15" s="52" t="str">
        <f>'14 Spieler'!$O$14</f>
        <v> </v>
      </c>
      <c r="AE15" s="52" t="str">
        <f>'14 Spieler'!$AG$27</f>
        <v> </v>
      </c>
      <c r="AF15" s="52" t="str">
        <f>'14 Spieler'!$G$15</f>
        <v> </v>
      </c>
      <c r="AG15" s="52" t="str">
        <f>'14 Spieler'!$Y$26</f>
        <v> </v>
      </c>
      <c r="AH15" s="52" t="str">
        <f>'14 Spieler'!$G$49</f>
        <v> </v>
      </c>
      <c r="AI15" s="52" t="str">
        <f>'14 Spieler'!$Q$25</f>
        <v> </v>
      </c>
      <c r="AJ15" s="52" t="str">
        <f>'14 Spieler'!$AE$39</f>
        <v> </v>
      </c>
      <c r="AK15" s="52" t="str">
        <f>'14 Spieler'!$I$24</f>
        <v> </v>
      </c>
      <c r="AL15" s="52" t="str">
        <f>'14 Spieler'!$W$40</f>
        <v> </v>
      </c>
      <c r="AM15" s="63" t="s">
        <v>21</v>
      </c>
      <c r="AN15" s="52" t="str">
        <f>'14 Spieler'!$Q$40</f>
        <v> </v>
      </c>
      <c r="AO15" s="52" t="str">
        <f>'14 Spieler'!$W$13</f>
        <v> </v>
      </c>
      <c r="AP15" s="27" t="str">
        <f>'14 Spieler'!$AE$12</f>
        <v> </v>
      </c>
      <c r="AQ15" s="76" t="str">
        <f t="shared" si="5"/>
        <v> </v>
      </c>
      <c r="AR15" s="74">
        <f t="shared" si="6"/>
      </c>
      <c r="AS15" s="57" t="str">
        <f>IF('Tabelle 14'!$C$5=AB15,'Tabelle 14'!$R$5,"")&amp;IF('Tabelle 14'!$C$6=AB15,'Tabelle 14'!$R$6,"")&amp;IF('Tabelle 14'!$C$7=AB15,'Tabelle 14'!$R$7,"")&amp;IF('Tabelle 14'!$C$8=AB15,'Tabelle 14'!$R$8,"")&amp;IF('Tabelle 14'!$C$9=AB15,'Tabelle 14'!$R$9,"")&amp;IF('Tabelle 14'!$C$10=AB15,'Tabelle 14'!$R$10,"")&amp;IF('Tabelle 14'!$C$11=AB15,'Tabelle 14'!$R$11,"")&amp;IF('Tabelle 14'!$C$12=AB15,'Tabelle 14'!$R$12,"")&amp;IF('Tabelle 14'!$C$13=AB15,'Tabelle 14'!$R$13,"")&amp;IF('Tabelle 14'!$C$14=AB15,'Tabelle 14'!$R$14,"")&amp;IF('Tabelle 14'!$C$15=AB15,'Tabelle 14'!$R$15,"")&amp;IF('Tabelle 14'!$C$16=AB15,'Tabelle 14'!$R$16,"")&amp;IF('Tabelle 14'!$C$17=AB15,'Tabelle 14'!$R$17,"")&amp;IF('Tabelle 14'!$C$18=AB15,'Tabelle 14'!$R$18,"")</f>
        <v> </v>
      </c>
      <c r="AT15" s="91">
        <v>11</v>
      </c>
      <c r="AU15" s="3">
        <f>'Tabelle 14'!N15</f>
        <v>0.04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2:77" ht="24.75" customHeight="1">
      <c r="B16" s="10">
        <v>12</v>
      </c>
      <c r="C16" s="24" t="str">
        <f t="shared" si="0"/>
        <v>Spieler 12</v>
      </c>
      <c r="D16" s="52" t="str">
        <f t="shared" si="7"/>
        <v> </v>
      </c>
      <c r="E16" s="52" t="str">
        <f t="shared" si="10"/>
        <v> </v>
      </c>
      <c r="F16" s="52" t="str">
        <f t="shared" si="12"/>
        <v> </v>
      </c>
      <c r="G16" s="52" t="str">
        <f t="shared" si="14"/>
        <v> </v>
      </c>
      <c r="H16" s="52" t="str">
        <f t="shared" si="16"/>
        <v> </v>
      </c>
      <c r="I16" s="52" t="str">
        <f t="shared" si="18"/>
        <v> </v>
      </c>
      <c r="J16" s="52" t="str">
        <f t="shared" si="20"/>
        <v> </v>
      </c>
      <c r="K16" s="52" t="str">
        <f t="shared" si="22"/>
        <v> </v>
      </c>
      <c r="L16" s="52" t="str">
        <f>AK54</f>
        <v> </v>
      </c>
      <c r="M16" s="52" t="str">
        <f>AL54</f>
        <v> </v>
      </c>
      <c r="N16" s="52" t="str">
        <f>AM54</f>
        <v> </v>
      </c>
      <c r="O16" s="63"/>
      <c r="P16" s="52" t="str">
        <f>AO54</f>
        <v> </v>
      </c>
      <c r="Q16" s="27" t="str">
        <f>AP54</f>
        <v> </v>
      </c>
      <c r="R16" s="76" t="str">
        <f t="shared" si="2"/>
        <v> </v>
      </c>
      <c r="S16" s="74">
        <f t="shared" si="3"/>
      </c>
      <c r="T16" s="57" t="str">
        <f t="shared" si="4"/>
        <v> </v>
      </c>
      <c r="U16" s="2"/>
      <c r="V16" s="2"/>
      <c r="W16" s="2"/>
      <c r="X16" s="2"/>
      <c r="Y16" s="2"/>
      <c r="Z16" s="2">
        <f t="shared" si="9"/>
        <v>12</v>
      </c>
      <c r="AA16" s="10">
        <v>12</v>
      </c>
      <c r="AB16" s="24" t="str">
        <f>Eingabe!$G$7</f>
        <v>Spieler 12</v>
      </c>
      <c r="AC16" s="52" t="str">
        <f>'14 Spieler'!$O$13</f>
        <v> </v>
      </c>
      <c r="AD16" s="52" t="str">
        <f>'14 Spieler'!$AG$28</f>
        <v> </v>
      </c>
      <c r="AE16" s="52" t="str">
        <f>'14 Spieler'!$G$14</f>
        <v> </v>
      </c>
      <c r="AF16" s="52" t="str">
        <f>'14 Spieler'!$Y$27</f>
        <v> </v>
      </c>
      <c r="AG16" s="52" t="str">
        <f>'14 Spieler'!$G$48</f>
        <v> </v>
      </c>
      <c r="AH16" s="52" t="str">
        <f>'14 Spieler'!$Q$26</f>
        <v> </v>
      </c>
      <c r="AI16" s="52" t="str">
        <f>'14 Spieler'!$AE$38</f>
        <v> </v>
      </c>
      <c r="AJ16" s="52" t="str">
        <f>'14 Spieler'!$I$25</f>
        <v> </v>
      </c>
      <c r="AK16" s="52" t="str">
        <f>'14 Spieler'!$W$39</f>
        <v> </v>
      </c>
      <c r="AL16" s="52" t="str">
        <f>'14 Spieler'!$AG$13</f>
        <v> </v>
      </c>
      <c r="AM16" s="52" t="str">
        <f>'14 Spieler'!$O$40</f>
        <v> </v>
      </c>
      <c r="AN16" s="63" t="s">
        <v>21</v>
      </c>
      <c r="AO16" s="52" t="str">
        <f>'14 Spieler'!$I$40</f>
        <v> </v>
      </c>
      <c r="AP16" s="27" t="str">
        <f>'14 Spieler'!$W$12</f>
        <v> </v>
      </c>
      <c r="AQ16" s="76" t="str">
        <f t="shared" si="5"/>
        <v> </v>
      </c>
      <c r="AR16" s="74">
        <f t="shared" si="6"/>
      </c>
      <c r="AS16" s="57" t="str">
        <f>IF('Tabelle 14'!$C$5=AB16,'Tabelle 14'!$R$5,"")&amp;IF('Tabelle 14'!$C$6=AB16,'Tabelle 14'!$R$6,"")&amp;IF('Tabelle 14'!$C$7=AB16,'Tabelle 14'!$R$7,"")&amp;IF('Tabelle 14'!$C$8=AB16,'Tabelle 14'!$R$8,"")&amp;IF('Tabelle 14'!$C$9=AB16,'Tabelle 14'!$R$9,"")&amp;IF('Tabelle 14'!$C$10=AB16,'Tabelle 14'!$R$10,"")&amp;IF('Tabelle 14'!$C$11=AB16,'Tabelle 14'!$R$11,"")&amp;IF('Tabelle 14'!$C$12=AB16,'Tabelle 14'!$R$12,"")&amp;IF('Tabelle 14'!$C$13=AB16,'Tabelle 14'!$R$13,"")&amp;IF('Tabelle 14'!$C$14=AB16,'Tabelle 14'!$R$14,"")&amp;IF('Tabelle 14'!$C$15=AB16,'Tabelle 14'!$R$15,"")&amp;IF('Tabelle 14'!$C$16=AB16,'Tabelle 14'!$R$16,"")&amp;IF('Tabelle 14'!$C$17=AB16,'Tabelle 14'!$R$17,"")&amp;IF('Tabelle 14'!$C$18=AB16,'Tabelle 14'!$R$18,"")</f>
        <v> </v>
      </c>
      <c r="AT16" s="91">
        <v>12</v>
      </c>
      <c r="AU16" s="3">
        <f>'Tabelle 14'!N16</f>
        <v>0.03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2:77" ht="24.75" customHeight="1">
      <c r="B17" s="10">
        <v>13</v>
      </c>
      <c r="C17" s="24" t="str">
        <f t="shared" si="0"/>
        <v>Spieler 13</v>
      </c>
      <c r="D17" s="52" t="str">
        <f t="shared" si="7"/>
        <v> </v>
      </c>
      <c r="E17" s="52" t="str">
        <f t="shared" si="10"/>
        <v> </v>
      </c>
      <c r="F17" s="52" t="str">
        <f t="shared" si="12"/>
        <v> </v>
      </c>
      <c r="G17" s="52" t="str">
        <f t="shared" si="14"/>
        <v> </v>
      </c>
      <c r="H17" s="52" t="str">
        <f t="shared" si="16"/>
        <v> </v>
      </c>
      <c r="I17" s="52" t="str">
        <f t="shared" si="18"/>
        <v> </v>
      </c>
      <c r="J17" s="52" t="str">
        <f t="shared" si="20"/>
        <v> </v>
      </c>
      <c r="K17" s="52" t="str">
        <f t="shared" si="22"/>
        <v> </v>
      </c>
      <c r="L17" s="52" t="str">
        <f>AK55</f>
        <v> </v>
      </c>
      <c r="M17" s="52" t="str">
        <f>AL55</f>
        <v> </v>
      </c>
      <c r="N17" s="52" t="str">
        <f>AM55</f>
        <v> </v>
      </c>
      <c r="O17" s="52" t="str">
        <f>AN55</f>
        <v> </v>
      </c>
      <c r="P17" s="63"/>
      <c r="Q17" s="27" t="str">
        <f>AP55</f>
        <v> </v>
      </c>
      <c r="R17" s="76" t="str">
        <f t="shared" si="2"/>
        <v> </v>
      </c>
      <c r="S17" s="74">
        <f t="shared" si="3"/>
      </c>
      <c r="T17" s="57" t="str">
        <f t="shared" si="4"/>
        <v> </v>
      </c>
      <c r="U17" s="2"/>
      <c r="V17" s="2"/>
      <c r="W17" s="2"/>
      <c r="X17" s="2"/>
      <c r="Y17" s="2"/>
      <c r="Z17" s="2">
        <f t="shared" si="9"/>
        <v>13</v>
      </c>
      <c r="AA17" s="10">
        <v>13</v>
      </c>
      <c r="AB17" s="24" t="str">
        <f>Eingabe!$G$8</f>
        <v>Spieler 13</v>
      </c>
      <c r="AC17" s="52" t="str">
        <f>'14 Spieler'!$AG$29</f>
        <v> </v>
      </c>
      <c r="AD17" s="52" t="str">
        <f>'14 Spieler'!$G$13</f>
        <v> </v>
      </c>
      <c r="AE17" s="52" t="str">
        <f>'14 Spieler'!$Y$28</f>
        <v> </v>
      </c>
      <c r="AF17" s="52" t="str">
        <f>'14 Spieler'!$G$47</f>
        <v> </v>
      </c>
      <c r="AG17" s="52" t="str">
        <f>'14 Spieler'!$Q$27</f>
        <v> </v>
      </c>
      <c r="AH17" s="52" t="str">
        <f>'14 Spieler'!$AE$37</f>
        <v> </v>
      </c>
      <c r="AI17" s="52" t="str">
        <f>'14 Spieler'!$I$26</f>
        <v> </v>
      </c>
      <c r="AJ17" s="52" t="str">
        <f>'14 Spieler'!$W$38</f>
        <v> </v>
      </c>
      <c r="AK17" s="52" t="str">
        <f>'14 Spieler'!$AG$14</f>
        <v> </v>
      </c>
      <c r="AL17" s="52" t="str">
        <f>'14 Spieler'!$O$39</f>
        <v> </v>
      </c>
      <c r="AM17" s="52" t="str">
        <f>'14 Spieler'!$Y$13</f>
        <v> </v>
      </c>
      <c r="AN17" s="52" t="str">
        <f>'14 Spieler'!$G$40</f>
        <v> </v>
      </c>
      <c r="AO17" s="63" t="s">
        <v>21</v>
      </c>
      <c r="AP17" s="27" t="str">
        <f>'14 Spieler'!$O$12</f>
        <v> </v>
      </c>
      <c r="AQ17" s="76" t="str">
        <f t="shared" si="5"/>
        <v> </v>
      </c>
      <c r="AR17" s="74">
        <f t="shared" si="6"/>
      </c>
      <c r="AS17" s="57" t="str">
        <f>IF('Tabelle 14'!$C$5=AB17,'Tabelle 14'!$R$5,"")&amp;IF('Tabelle 14'!$C$6=AB17,'Tabelle 14'!$R$6,"")&amp;IF('Tabelle 14'!$C$7=AB17,'Tabelle 14'!$R$7,"")&amp;IF('Tabelle 14'!$C$8=AB17,'Tabelle 14'!$R$8,"")&amp;IF('Tabelle 14'!$C$9=AB17,'Tabelle 14'!$R$9,"")&amp;IF('Tabelle 14'!$C$10=AB17,'Tabelle 14'!$R$10,"")&amp;IF('Tabelle 14'!$C$11=AB17,'Tabelle 14'!$R$11,"")&amp;IF('Tabelle 14'!$C$12=AB17,'Tabelle 14'!$R$12,"")&amp;IF('Tabelle 14'!$C$13=AB17,'Tabelle 14'!$R$13,"")&amp;IF('Tabelle 14'!$C$14=AB17,'Tabelle 14'!$R$14,"")&amp;IF('Tabelle 14'!$C$15=AB17,'Tabelle 14'!$R$15,"")&amp;IF('Tabelle 14'!$C$16=AB17,'Tabelle 14'!$R$16,"")&amp;IF('Tabelle 14'!$C$17=AB17,'Tabelle 14'!$R$17,"")&amp;IF('Tabelle 14'!$C$18=AB17,'Tabelle 14'!$R$18,"")</f>
        <v> </v>
      </c>
      <c r="AT17" s="91">
        <v>13</v>
      </c>
      <c r="AU17" s="3">
        <f>'Tabelle 14'!N17</f>
        <v>0.02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2:77" ht="24.75" customHeight="1" thickBot="1">
      <c r="B18" s="23">
        <v>14</v>
      </c>
      <c r="C18" s="25" t="str">
        <f t="shared" si="0"/>
        <v>Spieler / spielfrei</v>
      </c>
      <c r="D18" s="53" t="str">
        <f t="shared" si="7"/>
        <v> </v>
      </c>
      <c r="E18" s="53" t="str">
        <f t="shared" si="10"/>
        <v> </v>
      </c>
      <c r="F18" s="53" t="str">
        <f t="shared" si="12"/>
        <v> </v>
      </c>
      <c r="G18" s="53" t="str">
        <f t="shared" si="14"/>
        <v> </v>
      </c>
      <c r="H18" s="53" t="str">
        <f t="shared" si="16"/>
        <v> </v>
      </c>
      <c r="I18" s="53" t="str">
        <f t="shared" si="18"/>
        <v> </v>
      </c>
      <c r="J18" s="53" t="str">
        <f t="shared" si="20"/>
        <v> </v>
      </c>
      <c r="K18" s="53" t="str">
        <f t="shared" si="22"/>
        <v> </v>
      </c>
      <c r="L18" s="53" t="str">
        <f>AK56</f>
        <v> </v>
      </c>
      <c r="M18" s="53" t="str">
        <f>AL56</f>
        <v> </v>
      </c>
      <c r="N18" s="53" t="str">
        <f>AM56</f>
        <v> </v>
      </c>
      <c r="O18" s="53" t="str">
        <f>AN56</f>
        <v> </v>
      </c>
      <c r="P18" s="53" t="str">
        <f>AO56</f>
        <v> </v>
      </c>
      <c r="Q18" s="66"/>
      <c r="R18" s="77" t="str">
        <f t="shared" si="2"/>
        <v> </v>
      </c>
      <c r="S18" s="75">
        <f t="shared" si="3"/>
      </c>
      <c r="T18" s="58" t="str">
        <f t="shared" si="4"/>
        <v> </v>
      </c>
      <c r="U18" s="2"/>
      <c r="V18" s="2"/>
      <c r="W18" s="2"/>
      <c r="X18" s="2"/>
      <c r="Y18" s="2"/>
      <c r="Z18" s="2">
        <f t="shared" si="9"/>
        <v>14</v>
      </c>
      <c r="AA18" s="23">
        <v>14</v>
      </c>
      <c r="AB18" s="25" t="str">
        <f>Eingabe!$G$9</f>
        <v>Spieler / spielfrei</v>
      </c>
      <c r="AC18" s="53" t="str">
        <f>'14 Spieler'!$I$12</f>
        <v> </v>
      </c>
      <c r="AD18" s="53" t="str">
        <f>'14 Spieler'!$I$45</f>
        <v> </v>
      </c>
      <c r="AE18" s="53" t="str">
        <f>'14 Spieler'!$AG$34</f>
        <v> </v>
      </c>
      <c r="AF18" s="53" t="str">
        <f>'14 Spieler'!$Y$34</f>
        <v> </v>
      </c>
      <c r="AG18" s="53" t="str">
        <f>'14 Spieler'!$Q$34</f>
        <v> </v>
      </c>
      <c r="AH18" s="53" t="str">
        <f>'14 Spieler'!$I$34</f>
        <v> </v>
      </c>
      <c r="AI18" s="53" t="str">
        <f>'14 Spieler'!$AG$23</f>
        <v> </v>
      </c>
      <c r="AJ18" s="53" t="str">
        <f>'14 Spieler'!$Y$23</f>
        <v> </v>
      </c>
      <c r="AK18" s="53" t="str">
        <f>'14 Spieler'!$Q$23</f>
        <v> </v>
      </c>
      <c r="AL18" s="53" t="str">
        <f>'14 Spieler'!$I$23</f>
        <v> </v>
      </c>
      <c r="AM18" s="53" t="str">
        <f>'14 Spieler'!$AG$12</f>
        <v> </v>
      </c>
      <c r="AN18" s="53" t="str">
        <f>'14 Spieler'!$Y$12</f>
        <v> </v>
      </c>
      <c r="AO18" s="53" t="str">
        <f>'14 Spieler'!$Q$12</f>
        <v> </v>
      </c>
      <c r="AP18" s="66" t="s">
        <v>21</v>
      </c>
      <c r="AQ18" s="77" t="str">
        <f t="shared" si="5"/>
        <v> </v>
      </c>
      <c r="AR18" s="75">
        <f t="shared" si="6"/>
      </c>
      <c r="AS18" s="58" t="str">
        <f>IF('Tabelle 14'!$C$5=AB18,'Tabelle 14'!$R$5,"")&amp;IF('Tabelle 14'!$C$6=AB18,'Tabelle 14'!$R$6,"")&amp;IF('Tabelle 14'!$C$7=AB18,'Tabelle 14'!$R$7,"")&amp;IF('Tabelle 14'!$C$8=AB18,'Tabelle 14'!$R$8,"")&amp;IF('Tabelle 14'!$C$9=AB18,'Tabelle 14'!$R$9,"")&amp;IF('Tabelle 14'!$C$10=AB18,'Tabelle 14'!$R$10,"")&amp;IF('Tabelle 14'!$C$11=AB18,'Tabelle 14'!$R$11,"")&amp;IF('Tabelle 14'!$C$12=AB18,'Tabelle 14'!$R$12,"")&amp;IF('Tabelle 14'!$C$13=AB18,'Tabelle 14'!$R$13,"")&amp;IF('Tabelle 14'!$C$14=AB18,'Tabelle 14'!$R$14,"")&amp;IF('Tabelle 14'!$C$15=AB18,'Tabelle 14'!$R$15,"")&amp;IF('Tabelle 14'!$C$16=AB18,'Tabelle 14'!$R$16,"")&amp;IF('Tabelle 14'!$C$17=AB18,'Tabelle 14'!$R$17,"")&amp;IF('Tabelle 14'!$C$18=AB18,'Tabelle 14'!$R$18,"")</f>
        <v> </v>
      </c>
      <c r="AT18" s="91">
        <v>14</v>
      </c>
      <c r="AU18" s="3">
        <f>'Tabelle 14'!N18</f>
        <v>0.01</v>
      </c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21:77" ht="12.75">
      <c r="U19" s="2"/>
      <c r="V19" s="2"/>
      <c r="W19" s="2"/>
      <c r="X19" s="2"/>
      <c r="Y19" s="2"/>
      <c r="Z19" s="2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/>
      <c r="AR19" s="4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21:77" ht="12.75">
      <c r="U20" s="2"/>
      <c r="V20" s="2"/>
      <c r="W20" s="2"/>
      <c r="X20" s="2"/>
      <c r="Y20" s="2"/>
      <c r="Z20" s="2"/>
      <c r="AA20" s="3"/>
      <c r="AB20" s="2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21:77" ht="12.75">
      <c r="U21" s="2"/>
      <c r="V21" s="2"/>
      <c r="W21" s="2"/>
      <c r="X21" s="2"/>
      <c r="Y21" s="2"/>
      <c r="Z21" s="2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8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2:45" ht="24.75" customHeight="1">
      <c r="B22" s="80" t="str">
        <f>Eingabe!$G$3</f>
        <v>z. B. Monatsblitzturnier</v>
      </c>
      <c r="C22" s="12"/>
      <c r="D22" s="16"/>
      <c r="E22" s="16"/>
      <c r="F22" s="12"/>
      <c r="G22" s="29"/>
      <c r="H22" s="16"/>
      <c r="I22" s="16"/>
      <c r="J22" s="16"/>
      <c r="K22" s="16"/>
      <c r="L22" s="16"/>
      <c r="M22" s="16"/>
      <c r="N22" s="16"/>
      <c r="O22" s="16"/>
      <c r="P22" s="12"/>
      <c r="Q22" s="12"/>
      <c r="S22" s="30" t="s">
        <v>16</v>
      </c>
      <c r="T22" s="31" t="str">
        <f>Eingabe!G2</f>
        <v>??.??.????</v>
      </c>
      <c r="AA22" s="80"/>
      <c r="AB22" s="12"/>
      <c r="AC22" s="16"/>
      <c r="AD22" s="16"/>
      <c r="AE22" s="12"/>
      <c r="AF22" s="29"/>
      <c r="AG22" s="16"/>
      <c r="AH22" s="16"/>
      <c r="AI22" s="16"/>
      <c r="AJ22" s="16"/>
      <c r="AK22" s="16"/>
      <c r="AL22" s="16"/>
      <c r="AM22" s="16"/>
      <c r="AN22" s="16"/>
      <c r="AO22" s="12"/>
      <c r="AP22" s="12"/>
      <c r="AR22" s="30"/>
      <c r="AS22" s="31"/>
    </row>
    <row r="23" spans="2:45" s="18" customFormat="1" ht="18.75" thickBot="1"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AA23" s="19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77" s="8" customFormat="1" ht="24.75" customHeight="1" thickBot="1">
      <c r="A24" s="6"/>
      <c r="B24" s="20" t="s">
        <v>31</v>
      </c>
      <c r="C24" s="21" t="s">
        <v>32</v>
      </c>
      <c r="D24" s="64">
        <v>1</v>
      </c>
      <c r="E24" s="64">
        <v>2</v>
      </c>
      <c r="F24" s="64">
        <v>3</v>
      </c>
      <c r="G24" s="64">
        <v>4</v>
      </c>
      <c r="H24" s="64">
        <v>5</v>
      </c>
      <c r="I24" s="64">
        <v>6</v>
      </c>
      <c r="J24" s="64">
        <v>7</v>
      </c>
      <c r="K24" s="64">
        <v>8</v>
      </c>
      <c r="L24" s="64">
        <v>9</v>
      </c>
      <c r="M24" s="64">
        <v>10</v>
      </c>
      <c r="N24" s="64">
        <v>11</v>
      </c>
      <c r="O24" s="64">
        <v>12</v>
      </c>
      <c r="P24" s="64">
        <v>13</v>
      </c>
      <c r="Q24" s="65">
        <v>14</v>
      </c>
      <c r="R24" s="21" t="s">
        <v>33</v>
      </c>
      <c r="S24" s="50" t="s">
        <v>34</v>
      </c>
      <c r="T24" s="22" t="s">
        <v>35</v>
      </c>
      <c r="U24" s="9"/>
      <c r="V24" s="9"/>
      <c r="W24" s="9"/>
      <c r="X24" s="9"/>
      <c r="Y24" s="9"/>
      <c r="Z24" s="9"/>
      <c r="AA24" s="26"/>
      <c r="AB24" s="26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26"/>
      <c r="AR24" s="94"/>
      <c r="AS24" s="26"/>
      <c r="AT24" s="9"/>
      <c r="AU24" s="92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2:77" ht="24.75" customHeight="1">
      <c r="B25" s="10">
        <v>1</v>
      </c>
      <c r="C25" s="24" t="str">
        <f>Eingabe!$C$6</f>
        <v>Spieler 1</v>
      </c>
      <c r="D25" s="63"/>
      <c r="E25" s="52" t="str">
        <f>'14 Spieler'!$Y$29</f>
        <v> </v>
      </c>
      <c r="F25" s="52" t="str">
        <f>'14 Spieler'!$G$46</f>
        <v> </v>
      </c>
      <c r="G25" s="52" t="str">
        <f>'14 Spieler'!$Q$28</f>
        <v> </v>
      </c>
      <c r="H25" s="52" t="str">
        <f>'14 Spieler'!$AE$36</f>
        <v> </v>
      </c>
      <c r="I25" s="52" t="str">
        <f>'14 Spieler'!$I$27</f>
        <v> </v>
      </c>
      <c r="J25" s="52" t="str">
        <f>'14 Spieler'!$W$37</f>
        <v> </v>
      </c>
      <c r="K25" s="52" t="str">
        <f>'14 Spieler'!$AG15</f>
        <v> </v>
      </c>
      <c r="L25" s="52" t="str">
        <f>'14 Spieler'!$O$38</f>
        <v> </v>
      </c>
      <c r="M25" s="52" t="str">
        <f>'14 Spieler'!$Y$14</f>
        <v> </v>
      </c>
      <c r="N25" s="52" t="str">
        <f>'14 Spieler'!$G$39</f>
        <v> </v>
      </c>
      <c r="O25" s="52" t="str">
        <f>'14 Spieler'!$Q$13</f>
        <v> </v>
      </c>
      <c r="P25" s="52" t="str">
        <f>'14 Spieler'!$AE$29</f>
        <v> </v>
      </c>
      <c r="Q25" s="27" t="str">
        <f>'14 Spieler'!$G$12</f>
        <v> </v>
      </c>
      <c r="R25" s="76" t="str">
        <f aca="true" t="shared" si="23" ref="R25:R37">IF(COUNT($Q$25,$P$26,$O$27,$N$28,$M$29,$L$30,$K$31,$J$32,$I$33,$H$34,$G$35,$F$36,$E$37,$D$38)&gt;0,SUM(D25:Q25)," ")</f>
        <v> </v>
      </c>
      <c r="S25" s="74">
        <f aca="true" t="shared" si="24" ref="S25:S38">IF(COUNT($Q$25,$P$26,$O$27,$N$28,$M$29,$L$30,$K$31,$J$32,$I$33,$H$34,$G$35,$F$36,$E$37,$D$38)&gt;0,IF(OR(D25=1,D25=0.5),D25*$R$25,0)+IF(OR(E25=1,E25=0.5),E25*$R$26,0)+IF(OR(F25=1,F25=0.5),F25*$R$27,0)+IF(OR(G25=1,G25=0.5),G25*$R$28,0)+IF(OR(H25=1,H25=0.5),H25*$R$29,0)+IF(OR(I25=1,I25=0.5),I25*$R$30,0)+IF(OR(J25=1,J25=0.5),J25*$R$31,0)+IF(OR(K25=1,K25=0.5),K25*$R$32,0)+IF(OR(L25=1,L25=0.5),L25*$R$33,0)+IF(OR(M25=1,M25=0.5),M25*$R$34,0)+IF(OR(N25=1,N25=0.5),N25*$R$35,0)+IF(OR(O25=1,O25=0.5),O25*$R$36,0)+IF(OR(P25=1,P25=0.5),P25*$R$37,0)+IF(OR(Q25=1,Q25=0.5),Q25*$R$38,0),"")</f>
      </c>
      <c r="T25" s="57" t="str">
        <f>IF('Tabelle 14'!$C$5=C25,'Tabelle 14'!$R$5,"")&amp;IF('Tabelle 14'!$C$6=C25,'Tabelle 14'!$R$6,"")&amp;IF('Tabelle 14'!$C$7=C25,'Tabelle 14'!$R$7,"")&amp;IF('Tabelle 14'!$C$8=C25,'Tabelle 14'!$R$8,"")&amp;IF('Tabelle 14'!$C$9=C25,'Tabelle 14'!$R$9,"")&amp;IF('Tabelle 14'!$C$10=C25,'Tabelle 14'!$R$10,"")&amp;IF('Tabelle 14'!$C$11=C25,'Tabelle 14'!$R$11,"")&amp;IF('Tabelle 14'!$C$12=C25,'Tabelle 14'!$R$12,"")&amp;IF('Tabelle 14'!$C$13=C25,'Tabelle 14'!$R$13,"")&amp;IF('Tabelle 14'!$C$14=C25,'Tabelle 14'!$R$14,"")&amp;IF('Tabelle 14'!$C$15=C25,'Tabelle 14'!$R$15,"")&amp;IF('Tabelle 14'!$C$16=C25,'Tabelle 14'!$R$16,"")&amp;IF('Tabelle 14'!$C$17=C25,'Tabelle 14'!$R$17,"")&amp;IF('Tabelle 14'!$C$18=C25,'Tabelle 14'!$R$18,"")</f>
        <v> </v>
      </c>
      <c r="U25" s="2"/>
      <c r="V25" s="2"/>
      <c r="W25" s="2"/>
      <c r="X25" s="2"/>
      <c r="Y25" s="2"/>
      <c r="Z25" s="2"/>
      <c r="AA25" s="95">
        <f>VLOOKUP($AT5,$Z$5:$AS$18,2,FALSE)</f>
        <v>1</v>
      </c>
      <c r="AB25" s="96" t="str">
        <f>VLOOKUP($AT5,$Z$5:$AS$18,3,FALSE)</f>
        <v>Spieler 1</v>
      </c>
      <c r="AC25" s="100" t="str">
        <f>VLOOKUP($AT5,$Z$5:$AS$18,4,FALSE)</f>
        <v> </v>
      </c>
      <c r="AD25" s="100" t="str">
        <f>VLOOKUP($AT5,$Z$5:$AS$18,5,FALSE)</f>
        <v> </v>
      </c>
      <c r="AE25" s="100" t="str">
        <f>VLOOKUP($AT5,$Z$5:$AS$18,6,FALSE)</f>
        <v> </v>
      </c>
      <c r="AF25" s="100" t="str">
        <f>VLOOKUP($AT5,$Z$5:$AS$18,7,FALSE)</f>
        <v> </v>
      </c>
      <c r="AG25" s="100" t="str">
        <f>VLOOKUP($AT5,$Z$5:$AS$18,8,FALSE)</f>
        <v> </v>
      </c>
      <c r="AH25" s="100" t="str">
        <f>VLOOKUP($AT5,$Z$5:$AS$18,9,FALSE)</f>
        <v> </v>
      </c>
      <c r="AI25" s="100" t="str">
        <f>VLOOKUP($AT5,$Z$5:$AS$18,10,FALSE)</f>
        <v> </v>
      </c>
      <c r="AJ25" s="100" t="str">
        <f>VLOOKUP($AT5,$Z$5:$AS$18,11,FALSE)</f>
        <v> </v>
      </c>
      <c r="AK25" s="100" t="str">
        <f>VLOOKUP($AT5,$Z$5:$AS$18,12,FALSE)</f>
        <v> </v>
      </c>
      <c r="AL25" s="100" t="str">
        <f>VLOOKUP($AT5,$Z$5:$AS$18,13,FALSE)</f>
        <v> </v>
      </c>
      <c r="AM25" s="100" t="str">
        <f>VLOOKUP($AT5,$Z$5:$AS$18,14,FALSE)</f>
        <v> </v>
      </c>
      <c r="AN25" s="100" t="str">
        <f>VLOOKUP($AT5,$Z$5:$AS$18,15,FALSE)</f>
        <v> </v>
      </c>
      <c r="AO25" s="100" t="str">
        <f>VLOOKUP($AT5,$Z$5:$AS$18,16,FALSE)</f>
        <v> </v>
      </c>
      <c r="AP25" s="101" t="str">
        <f>VLOOKUP($AT5,$Z$5:$AS$18,17,FALSE)</f>
        <v> </v>
      </c>
      <c r="AQ25" s="97" t="str">
        <f>VLOOKUP($AT5,$Z$5:$AS$18,18,FALSE)</f>
        <v> </v>
      </c>
      <c r="AR25" s="98">
        <f>VLOOKUP($AT5,$Z$5:$AS$18,19,FALSE)</f>
      </c>
      <c r="AS25" s="99" t="str">
        <f>VLOOKUP($AT5,$Z$5:$AS$18,20,FALSE)</f>
        <v> </v>
      </c>
      <c r="AT25" s="90"/>
      <c r="AU25" s="3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2:77" ht="24.75" customHeight="1">
      <c r="B26" s="10">
        <v>2</v>
      </c>
      <c r="C26" s="24" t="str">
        <f>Eingabe!$C$7</f>
        <v>Spieler 2</v>
      </c>
      <c r="D26" s="52" t="str">
        <f>'14 Spieler'!$W$29</f>
        <v> </v>
      </c>
      <c r="E26" s="63"/>
      <c r="F26" s="52" t="str">
        <f>'14 Spieler'!$Q$29</f>
        <v> </v>
      </c>
      <c r="G26" s="52" t="str">
        <f>'14 Spieler'!$AE$35</f>
        <v> </v>
      </c>
      <c r="H26" s="52" t="str">
        <f>'14 Spieler'!$I$28</f>
        <v> </v>
      </c>
      <c r="I26" s="52" t="str">
        <f>'14 Spieler'!$W$36</f>
        <v> </v>
      </c>
      <c r="J26" s="52" t="str">
        <f>'14 Spieler'!$AG$16</f>
        <v> </v>
      </c>
      <c r="K26" s="52" t="str">
        <f>'14 Spieler'!$O$37</f>
        <v> </v>
      </c>
      <c r="L26" s="52" t="str">
        <f>'14 Spieler'!$Y$15</f>
        <v> </v>
      </c>
      <c r="M26" s="52" t="str">
        <f>'14 Spieler'!$G$38</f>
        <v> </v>
      </c>
      <c r="N26" s="52" t="str">
        <f>'14 Spieler'!$Q$14</f>
        <v> </v>
      </c>
      <c r="O26" s="52" t="str">
        <f>'14 Spieler'!$AE$28</f>
        <v> </v>
      </c>
      <c r="P26" s="52" t="str">
        <f>'14 Spieler'!$I$13</f>
        <v> </v>
      </c>
      <c r="Q26" s="27" t="str">
        <f>'14 Spieler'!$G$45</f>
        <v> </v>
      </c>
      <c r="R26" s="76" t="str">
        <f t="shared" si="23"/>
        <v> </v>
      </c>
      <c r="S26" s="74">
        <f t="shared" si="24"/>
      </c>
      <c r="T26" s="57" t="str">
        <f>IF('Tabelle 14'!$C$5=C26,'Tabelle 14'!$R$5,"")&amp;IF('Tabelle 14'!$C$6=C26,'Tabelle 14'!$R$6,"")&amp;IF('Tabelle 14'!$C$7=C26,'Tabelle 14'!$R$7,"")&amp;IF('Tabelle 14'!$C$8=C26,'Tabelle 14'!$R$8,"")&amp;IF('Tabelle 14'!$C$9=C26,'Tabelle 14'!$R$9,"")&amp;IF('Tabelle 14'!$C$10=C26,'Tabelle 14'!$R$10,"")&amp;IF('Tabelle 14'!$C$11=C26,'Tabelle 14'!$R$11,"")&amp;IF('Tabelle 14'!$C$12=C26,'Tabelle 14'!$R$12,"")&amp;IF('Tabelle 14'!$C$13=C26,'Tabelle 14'!$R$13,"")&amp;IF('Tabelle 14'!$C$14=C26,'Tabelle 14'!$R$14,"")&amp;IF('Tabelle 14'!$C$15=C26,'Tabelle 14'!$R$15,"")&amp;IF('Tabelle 14'!$C$16=C26,'Tabelle 14'!$R$16,"")&amp;IF('Tabelle 14'!$C$17=C26,'Tabelle 14'!$R$17,"")&amp;IF('Tabelle 14'!$C$18=C26,'Tabelle 14'!$R$18,"")</f>
        <v> </v>
      </c>
      <c r="U26" s="2"/>
      <c r="V26" s="2"/>
      <c r="W26" s="2"/>
      <c r="X26" s="2"/>
      <c r="Y26" s="2"/>
      <c r="Z26" s="2"/>
      <c r="AA26" s="10">
        <f aca="true" t="shared" si="25" ref="AA26:AA38">VLOOKUP($AT6,$Z$5:$AS$18,2,FALSE)</f>
        <v>2</v>
      </c>
      <c r="AB26" s="24" t="str">
        <f aca="true" t="shared" si="26" ref="AB26:AB38">VLOOKUP($AT6,$Z$5:$AS$18,3,FALSE)</f>
        <v>Spieler 2</v>
      </c>
      <c r="AC26" s="102" t="str">
        <f aca="true" t="shared" si="27" ref="AC26:AC38">VLOOKUP($AT6,$Z$5:$AS$18,4,FALSE)</f>
        <v> </v>
      </c>
      <c r="AD26" s="102" t="str">
        <f aca="true" t="shared" si="28" ref="AD26:AD38">VLOOKUP($AT6,$Z$5:$AS$18,5,FALSE)</f>
        <v> </v>
      </c>
      <c r="AE26" s="102" t="str">
        <f aca="true" t="shared" si="29" ref="AE26:AE38">VLOOKUP($AT6,$Z$5:$AS$18,6,FALSE)</f>
        <v> </v>
      </c>
      <c r="AF26" s="102" t="str">
        <f aca="true" t="shared" si="30" ref="AF26:AF38">VLOOKUP($AT6,$Z$5:$AS$18,7,FALSE)</f>
        <v> </v>
      </c>
      <c r="AG26" s="102" t="str">
        <f aca="true" t="shared" si="31" ref="AG26:AG38">VLOOKUP($AT6,$Z$5:$AS$18,8,FALSE)</f>
        <v> </v>
      </c>
      <c r="AH26" s="102" t="str">
        <f aca="true" t="shared" si="32" ref="AH26:AH38">VLOOKUP($AT6,$Z$5:$AS$18,9,FALSE)</f>
        <v> </v>
      </c>
      <c r="AI26" s="102" t="str">
        <f aca="true" t="shared" si="33" ref="AI26:AI38">VLOOKUP($AT6,$Z$5:$AS$18,10,FALSE)</f>
        <v> </v>
      </c>
      <c r="AJ26" s="102" t="str">
        <f aca="true" t="shared" si="34" ref="AJ26:AJ38">VLOOKUP($AT6,$Z$5:$AS$18,11,FALSE)</f>
        <v> </v>
      </c>
      <c r="AK26" s="102" t="str">
        <f aca="true" t="shared" si="35" ref="AK26:AK38">VLOOKUP($AT6,$Z$5:$AS$18,12,FALSE)</f>
        <v> </v>
      </c>
      <c r="AL26" s="102" t="str">
        <f aca="true" t="shared" si="36" ref="AL26:AL38">VLOOKUP($AT6,$Z$5:$AS$18,13,FALSE)</f>
        <v> </v>
      </c>
      <c r="AM26" s="102" t="str">
        <f aca="true" t="shared" si="37" ref="AM26:AM38">VLOOKUP($AT6,$Z$5:$AS$18,14,FALSE)</f>
        <v> </v>
      </c>
      <c r="AN26" s="102" t="str">
        <f aca="true" t="shared" si="38" ref="AN26:AN38">VLOOKUP($AT6,$Z$5:$AS$18,15,FALSE)</f>
        <v> </v>
      </c>
      <c r="AO26" s="102" t="str">
        <f aca="true" t="shared" si="39" ref="AO26:AO38">VLOOKUP($AT6,$Z$5:$AS$18,16,FALSE)</f>
        <v> </v>
      </c>
      <c r="AP26" s="103" t="str">
        <f aca="true" t="shared" si="40" ref="AP26:AP38">VLOOKUP($AT6,$Z$5:$AS$18,17,FALSE)</f>
        <v> </v>
      </c>
      <c r="AQ26" s="76" t="str">
        <f aca="true" t="shared" si="41" ref="AQ26:AQ38">VLOOKUP($AT6,$Z$5:$AS$18,18,FALSE)</f>
        <v> </v>
      </c>
      <c r="AR26" s="74">
        <f aca="true" t="shared" si="42" ref="AR26:AR38">VLOOKUP($AT6,$Z$5:$AS$18,19,FALSE)</f>
      </c>
      <c r="AS26" s="57" t="str">
        <f aca="true" t="shared" si="43" ref="AS26:AS38">VLOOKUP($AT6,$Z$5:$AS$18,20,FALSE)</f>
        <v> </v>
      </c>
      <c r="AT26" s="90"/>
      <c r="AU26" s="3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2:77" ht="24.75" customHeight="1">
      <c r="B27" s="10">
        <v>3</v>
      </c>
      <c r="C27" s="24" t="str">
        <f>Eingabe!$C$8</f>
        <v>Spieler 3</v>
      </c>
      <c r="D27" s="52" t="str">
        <f>'14 Spieler'!$I$46</f>
        <v> </v>
      </c>
      <c r="E27" s="52" t="str">
        <f>'14 Spieler'!$O$29</f>
        <v> </v>
      </c>
      <c r="F27" s="63"/>
      <c r="G27" s="52" t="str">
        <f>'14 Spieler'!$I$29</f>
        <v> </v>
      </c>
      <c r="H27" s="52" t="str">
        <f>'14 Spieler'!$W$35</f>
        <v> </v>
      </c>
      <c r="I27" s="52" t="str">
        <f>'14 Spieler'!$AG$17</f>
        <v> </v>
      </c>
      <c r="J27" s="52" t="str">
        <f>'14 Spieler'!$O$36</f>
        <v> </v>
      </c>
      <c r="K27" s="52" t="str">
        <f>'14 Spieler'!$Y$16</f>
        <v> </v>
      </c>
      <c r="L27" s="52" t="str">
        <f>'14 Spieler'!$G$37</f>
        <v> </v>
      </c>
      <c r="M27" s="52" t="str">
        <f>'14 Spieler'!$Q$15</f>
        <v> </v>
      </c>
      <c r="N27" s="52" t="str">
        <f>'14 Spieler'!$AE$27</f>
        <v> </v>
      </c>
      <c r="O27" s="52" t="str">
        <f>'14 Spieler'!$I$14</f>
        <v> </v>
      </c>
      <c r="P27" s="52" t="str">
        <f>'14 Spieler'!$W$28</f>
        <v> </v>
      </c>
      <c r="Q27" s="27" t="str">
        <f>'14 Spieler'!$AE$34</f>
        <v> </v>
      </c>
      <c r="R27" s="76" t="str">
        <f t="shared" si="23"/>
        <v> </v>
      </c>
      <c r="S27" s="74">
        <f t="shared" si="24"/>
      </c>
      <c r="T27" s="57" t="str">
        <f>IF('Tabelle 14'!$C$5=C27,'Tabelle 14'!$R$5,"")&amp;IF('Tabelle 14'!$C$6=C27,'Tabelle 14'!$R$6,"")&amp;IF('Tabelle 14'!$C$7=C27,'Tabelle 14'!$R$7,"")&amp;IF('Tabelle 14'!$C$8=C27,'Tabelle 14'!$R$8,"")&amp;IF('Tabelle 14'!$C$9=C27,'Tabelle 14'!$R$9,"")&amp;IF('Tabelle 14'!$C$10=C27,'Tabelle 14'!$R$10,"")&amp;IF('Tabelle 14'!$C$11=C27,'Tabelle 14'!$R$11,"")&amp;IF('Tabelle 14'!$C$12=C27,'Tabelle 14'!$R$12,"")&amp;IF('Tabelle 14'!$C$13=C27,'Tabelle 14'!$R$13,"")&amp;IF('Tabelle 14'!$C$14=C27,'Tabelle 14'!$R$14,"")&amp;IF('Tabelle 14'!$C$15=C27,'Tabelle 14'!$R$15,"")&amp;IF('Tabelle 14'!$C$16=C27,'Tabelle 14'!$R$16,"")&amp;IF('Tabelle 14'!$C$17=C27,'Tabelle 14'!$R$17,"")&amp;IF('Tabelle 14'!$C$18=C27,'Tabelle 14'!$R$18,"")</f>
        <v> </v>
      </c>
      <c r="U27" s="2"/>
      <c r="V27" s="2"/>
      <c r="W27" s="2"/>
      <c r="X27" s="2"/>
      <c r="Y27" s="2"/>
      <c r="Z27" s="2"/>
      <c r="AA27" s="10">
        <f t="shared" si="25"/>
        <v>3</v>
      </c>
      <c r="AB27" s="24" t="str">
        <f t="shared" si="26"/>
        <v>Spieler 3</v>
      </c>
      <c r="AC27" s="102" t="str">
        <f t="shared" si="27"/>
        <v> </v>
      </c>
      <c r="AD27" s="102" t="str">
        <f t="shared" si="28"/>
        <v> </v>
      </c>
      <c r="AE27" s="102" t="str">
        <f t="shared" si="29"/>
        <v> </v>
      </c>
      <c r="AF27" s="102" t="str">
        <f t="shared" si="30"/>
        <v> </v>
      </c>
      <c r="AG27" s="102" t="str">
        <f t="shared" si="31"/>
        <v> </v>
      </c>
      <c r="AH27" s="102" t="str">
        <f t="shared" si="32"/>
        <v> </v>
      </c>
      <c r="AI27" s="102" t="str">
        <f t="shared" si="33"/>
        <v> </v>
      </c>
      <c r="AJ27" s="102" t="str">
        <f t="shared" si="34"/>
        <v> </v>
      </c>
      <c r="AK27" s="102" t="str">
        <f t="shared" si="35"/>
        <v> </v>
      </c>
      <c r="AL27" s="102" t="str">
        <f t="shared" si="36"/>
        <v> </v>
      </c>
      <c r="AM27" s="102" t="str">
        <f t="shared" si="37"/>
        <v> </v>
      </c>
      <c r="AN27" s="102" t="str">
        <f t="shared" si="38"/>
        <v> </v>
      </c>
      <c r="AO27" s="102" t="str">
        <f t="shared" si="39"/>
        <v> </v>
      </c>
      <c r="AP27" s="103" t="str">
        <f t="shared" si="40"/>
        <v> </v>
      </c>
      <c r="AQ27" s="76" t="str">
        <f t="shared" si="41"/>
        <v> </v>
      </c>
      <c r="AR27" s="74">
        <f t="shared" si="42"/>
      </c>
      <c r="AS27" s="57" t="str">
        <f t="shared" si="43"/>
        <v> </v>
      </c>
      <c r="AT27" s="90"/>
      <c r="AU27" s="3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2:77" ht="24.75" customHeight="1">
      <c r="B28" s="10">
        <v>4</v>
      </c>
      <c r="C28" s="24" t="str">
        <f>Eingabe!$C$9</f>
        <v>Spieler 4</v>
      </c>
      <c r="D28" s="52" t="str">
        <f>'14 Spieler'!$O$28</f>
        <v> </v>
      </c>
      <c r="E28" s="52" t="str">
        <f>'14 Spieler'!$AG$35</f>
        <v> </v>
      </c>
      <c r="F28" s="52" t="str">
        <f>'14 Spieler'!$G$29</f>
        <v> </v>
      </c>
      <c r="G28" s="63"/>
      <c r="H28" s="52" t="str">
        <f>'14 Spieler'!$AG$18</f>
        <v> </v>
      </c>
      <c r="I28" s="52" t="str">
        <f>'14 Spieler'!$O$35</f>
        <v> </v>
      </c>
      <c r="J28" s="52" t="str">
        <f>'14 Spieler'!$Y$17</f>
        <v> </v>
      </c>
      <c r="K28" s="52" t="str">
        <f>'14 Spieler'!$G$36</f>
        <v> </v>
      </c>
      <c r="L28" s="52" t="str">
        <f>'14 Spieler'!$Q$16</f>
        <v> </v>
      </c>
      <c r="M28" s="52" t="str">
        <f>'14 Spieler'!$AE$26</f>
        <v> </v>
      </c>
      <c r="N28" s="52" t="str">
        <f>'14 Spieler'!$I$15</f>
        <v> </v>
      </c>
      <c r="O28" s="52" t="str">
        <f>'14 Spieler'!$W$27</f>
        <v> </v>
      </c>
      <c r="P28" s="52" t="str">
        <f>'14 Spieler'!$I$47</f>
        <v> </v>
      </c>
      <c r="Q28" s="27" t="str">
        <f>'14 Spieler'!$W$34</f>
        <v> </v>
      </c>
      <c r="R28" s="76" t="str">
        <f t="shared" si="23"/>
        <v> </v>
      </c>
      <c r="S28" s="74">
        <f t="shared" si="24"/>
      </c>
      <c r="T28" s="57" t="str">
        <f>IF('Tabelle 14'!$C$5=C28,'Tabelle 14'!$R$5,"")&amp;IF('Tabelle 14'!$C$6=C28,'Tabelle 14'!$R$6,"")&amp;IF('Tabelle 14'!$C$7=C28,'Tabelle 14'!$R$7,"")&amp;IF('Tabelle 14'!$C$8=C28,'Tabelle 14'!$R$8,"")&amp;IF('Tabelle 14'!$C$9=C28,'Tabelle 14'!$R$9,"")&amp;IF('Tabelle 14'!$C$10=C28,'Tabelle 14'!$R$10,"")&amp;IF('Tabelle 14'!$C$11=C28,'Tabelle 14'!$R$11,"")&amp;IF('Tabelle 14'!$C$12=C28,'Tabelle 14'!$R$12,"")&amp;IF('Tabelle 14'!$C$13=C28,'Tabelle 14'!$R$13,"")&amp;IF('Tabelle 14'!$C$14=C28,'Tabelle 14'!$R$14,"")&amp;IF('Tabelle 14'!$C$15=C28,'Tabelle 14'!$R$15,"")&amp;IF('Tabelle 14'!$C$16=C28,'Tabelle 14'!$R$16,"")&amp;IF('Tabelle 14'!$C$17=C28,'Tabelle 14'!$R$17,"")&amp;IF('Tabelle 14'!$C$18=C28,'Tabelle 14'!$R$18,"")</f>
        <v> </v>
      </c>
      <c r="U28" s="2"/>
      <c r="V28" s="2"/>
      <c r="W28" s="2"/>
      <c r="X28" s="2"/>
      <c r="Y28" s="2"/>
      <c r="Z28" s="2"/>
      <c r="AA28" s="10">
        <f t="shared" si="25"/>
        <v>4</v>
      </c>
      <c r="AB28" s="24" t="str">
        <f t="shared" si="26"/>
        <v>Spieler 4</v>
      </c>
      <c r="AC28" s="102" t="str">
        <f t="shared" si="27"/>
        <v> </v>
      </c>
      <c r="AD28" s="102" t="str">
        <f t="shared" si="28"/>
        <v> </v>
      </c>
      <c r="AE28" s="102" t="str">
        <f t="shared" si="29"/>
        <v> </v>
      </c>
      <c r="AF28" s="102" t="str">
        <f t="shared" si="30"/>
        <v> </v>
      </c>
      <c r="AG28" s="102" t="str">
        <f t="shared" si="31"/>
        <v> </v>
      </c>
      <c r="AH28" s="102" t="str">
        <f t="shared" si="32"/>
        <v> </v>
      </c>
      <c r="AI28" s="102" t="str">
        <f t="shared" si="33"/>
        <v> </v>
      </c>
      <c r="AJ28" s="102" t="str">
        <f t="shared" si="34"/>
        <v> </v>
      </c>
      <c r="AK28" s="102" t="str">
        <f t="shared" si="35"/>
        <v> </v>
      </c>
      <c r="AL28" s="102" t="str">
        <f t="shared" si="36"/>
        <v> </v>
      </c>
      <c r="AM28" s="102" t="str">
        <f t="shared" si="37"/>
        <v> </v>
      </c>
      <c r="AN28" s="102" t="str">
        <f t="shared" si="38"/>
        <v> </v>
      </c>
      <c r="AO28" s="102" t="str">
        <f t="shared" si="39"/>
        <v> </v>
      </c>
      <c r="AP28" s="103" t="str">
        <f t="shared" si="40"/>
        <v> </v>
      </c>
      <c r="AQ28" s="76" t="str">
        <f t="shared" si="41"/>
        <v> </v>
      </c>
      <c r="AR28" s="74">
        <f t="shared" si="42"/>
      </c>
      <c r="AS28" s="57" t="str">
        <f t="shared" si="43"/>
        <v> </v>
      </c>
      <c r="AT28" s="91"/>
      <c r="AU28" s="3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2:77" ht="24.75" customHeight="1">
      <c r="B29" s="10">
        <v>5</v>
      </c>
      <c r="C29" s="24" t="str">
        <f>Eingabe!$C$10</f>
        <v>Spieler 5</v>
      </c>
      <c r="D29" s="52" t="str">
        <f>'14 Spieler'!$AG$36</f>
        <v> </v>
      </c>
      <c r="E29" s="52" t="str">
        <f>'14 Spieler'!$G$28</f>
        <v> </v>
      </c>
      <c r="F29" s="52" t="str">
        <f>'14 Spieler'!$Y$35</f>
        <v> </v>
      </c>
      <c r="G29" s="52" t="str">
        <f>'14 Spieler'!$AE$18</f>
        <v> </v>
      </c>
      <c r="H29" s="63"/>
      <c r="I29" s="52" t="str">
        <f>'14 Spieler'!$Y$18</f>
        <v> </v>
      </c>
      <c r="J29" s="52" t="str">
        <f>'14 Spieler'!$G$35</f>
        <v> </v>
      </c>
      <c r="K29" s="52" t="str">
        <f>'14 Spieler'!$Q$17</f>
        <v> </v>
      </c>
      <c r="L29" s="52" t="str">
        <f>'14 Spieler'!$AE$25</f>
        <v> </v>
      </c>
      <c r="M29" s="52" t="str">
        <f>'14 Spieler'!$I$16</f>
        <v> </v>
      </c>
      <c r="N29" s="52" t="str">
        <f>'14 Spieler'!$W$26</f>
        <v> </v>
      </c>
      <c r="O29" s="52" t="str">
        <f>'14 Spieler'!$I$48</f>
        <v> </v>
      </c>
      <c r="P29" s="52" t="str">
        <f>'14 Spieler'!$O$27</f>
        <v> </v>
      </c>
      <c r="Q29" s="27" t="str">
        <f>'14 Spieler'!$O$34</f>
        <v> </v>
      </c>
      <c r="R29" s="76" t="str">
        <f t="shared" si="23"/>
        <v> </v>
      </c>
      <c r="S29" s="74">
        <f t="shared" si="24"/>
      </c>
      <c r="T29" s="57" t="str">
        <f>IF('Tabelle 14'!$C$5=C29,'Tabelle 14'!$R$5,"")&amp;IF('Tabelle 14'!$C$6=C29,'Tabelle 14'!$R$6,"")&amp;IF('Tabelle 14'!$C$7=C29,'Tabelle 14'!$R$7,"")&amp;IF('Tabelle 14'!$C$8=C29,'Tabelle 14'!$R$8,"")&amp;IF('Tabelle 14'!$C$9=C29,'Tabelle 14'!$R$9,"")&amp;IF('Tabelle 14'!$C$10=C29,'Tabelle 14'!$R$10,"")&amp;IF('Tabelle 14'!$C$11=C29,'Tabelle 14'!$R$11,"")&amp;IF('Tabelle 14'!$C$12=C29,'Tabelle 14'!$R$12,"")&amp;IF('Tabelle 14'!$C$13=C29,'Tabelle 14'!$R$13,"")&amp;IF('Tabelle 14'!$C$14=C29,'Tabelle 14'!$R$14,"")&amp;IF('Tabelle 14'!$C$15=C29,'Tabelle 14'!$R$15,"")&amp;IF('Tabelle 14'!$C$16=C29,'Tabelle 14'!$R$16,"")&amp;IF('Tabelle 14'!$C$17=C29,'Tabelle 14'!$R$17,"")&amp;IF('Tabelle 14'!$C$18=C29,'Tabelle 14'!$R$18,"")</f>
        <v> </v>
      </c>
      <c r="U29" s="2"/>
      <c r="V29" s="2"/>
      <c r="W29" s="2"/>
      <c r="X29" s="2"/>
      <c r="Y29" s="2"/>
      <c r="Z29" s="2"/>
      <c r="AA29" s="10">
        <f t="shared" si="25"/>
        <v>5</v>
      </c>
      <c r="AB29" s="24" t="str">
        <f t="shared" si="26"/>
        <v>Spieler 5</v>
      </c>
      <c r="AC29" s="102" t="str">
        <f t="shared" si="27"/>
        <v> </v>
      </c>
      <c r="AD29" s="102" t="str">
        <f t="shared" si="28"/>
        <v> </v>
      </c>
      <c r="AE29" s="102" t="str">
        <f t="shared" si="29"/>
        <v> </v>
      </c>
      <c r="AF29" s="102" t="str">
        <f t="shared" si="30"/>
        <v> </v>
      </c>
      <c r="AG29" s="102" t="str">
        <f t="shared" si="31"/>
        <v> </v>
      </c>
      <c r="AH29" s="102" t="str">
        <f t="shared" si="32"/>
        <v> </v>
      </c>
      <c r="AI29" s="102" t="str">
        <f t="shared" si="33"/>
        <v> </v>
      </c>
      <c r="AJ29" s="102" t="str">
        <f t="shared" si="34"/>
        <v> </v>
      </c>
      <c r="AK29" s="102" t="str">
        <f t="shared" si="35"/>
        <v> </v>
      </c>
      <c r="AL29" s="102" t="str">
        <f t="shared" si="36"/>
        <v> </v>
      </c>
      <c r="AM29" s="102" t="str">
        <f t="shared" si="37"/>
        <v> </v>
      </c>
      <c r="AN29" s="102" t="str">
        <f t="shared" si="38"/>
        <v> </v>
      </c>
      <c r="AO29" s="102" t="str">
        <f t="shared" si="39"/>
        <v> </v>
      </c>
      <c r="AP29" s="103" t="str">
        <f t="shared" si="40"/>
        <v> </v>
      </c>
      <c r="AQ29" s="76" t="str">
        <f t="shared" si="41"/>
        <v> </v>
      </c>
      <c r="AR29" s="74">
        <f t="shared" si="42"/>
      </c>
      <c r="AS29" s="57" t="str">
        <f t="shared" si="43"/>
        <v> </v>
      </c>
      <c r="AT29" s="91"/>
      <c r="AU29" s="3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2:77" ht="24.75" customHeight="1">
      <c r="B30" s="10">
        <v>6</v>
      </c>
      <c r="C30" s="24" t="str">
        <f>Eingabe!$C$11</f>
        <v>Spieler 6</v>
      </c>
      <c r="D30" s="52" t="str">
        <f>'14 Spieler'!$G$27</f>
        <v> </v>
      </c>
      <c r="E30" s="52" t="str">
        <f>'14 Spieler'!$Y$36</f>
        <v> </v>
      </c>
      <c r="F30" s="52" t="str">
        <f>'14 Spieler'!$AE$17</f>
        <v> </v>
      </c>
      <c r="G30" s="52" t="str">
        <f>'14 Spieler'!$Q$35</f>
        <v> </v>
      </c>
      <c r="H30" s="52" t="str">
        <f>'14 Spieler'!$W$18</f>
        <v> </v>
      </c>
      <c r="I30" s="63"/>
      <c r="J30" s="52" t="str">
        <f>'14 Spieler'!$Q$18</f>
        <v> </v>
      </c>
      <c r="K30" s="52" t="str">
        <f>'14 Spieler'!$AE$24</f>
        <v> </v>
      </c>
      <c r="L30" s="52" t="str">
        <f>'14 Spieler'!$I$17</f>
        <v> </v>
      </c>
      <c r="M30" s="52" t="str">
        <f>'14 Spieler'!$W$25</f>
        <v> </v>
      </c>
      <c r="N30" s="52" t="str">
        <f>'14 Spieler'!$I$49</f>
        <v> </v>
      </c>
      <c r="O30" s="52" t="str">
        <f>'14 Spieler'!$O$26</f>
        <v> </v>
      </c>
      <c r="P30" s="52" t="str">
        <f>'14 Spieler'!$AG$37</f>
        <v> </v>
      </c>
      <c r="Q30" s="27" t="str">
        <f>'14 Spieler'!$G$34</f>
        <v> </v>
      </c>
      <c r="R30" s="76" t="str">
        <f t="shared" si="23"/>
        <v> </v>
      </c>
      <c r="S30" s="74">
        <f t="shared" si="24"/>
      </c>
      <c r="T30" s="57" t="str">
        <f>IF('Tabelle 14'!$C$5=C30,'Tabelle 14'!$R$5,"")&amp;IF('Tabelle 14'!$C$6=C30,'Tabelle 14'!$R$6,"")&amp;IF('Tabelle 14'!$C$7=C30,'Tabelle 14'!$R$7,"")&amp;IF('Tabelle 14'!$C$8=C30,'Tabelle 14'!$R$8,"")&amp;IF('Tabelle 14'!$C$9=C30,'Tabelle 14'!$R$9,"")&amp;IF('Tabelle 14'!$C$10=C30,'Tabelle 14'!$R$10,"")&amp;IF('Tabelle 14'!$C$11=C30,'Tabelle 14'!$R$11,"")&amp;IF('Tabelle 14'!$C$12=C30,'Tabelle 14'!$R$12,"")&amp;IF('Tabelle 14'!$C$13=C30,'Tabelle 14'!$R$13,"")&amp;IF('Tabelle 14'!$C$14=C30,'Tabelle 14'!$R$14,"")&amp;IF('Tabelle 14'!$C$15=C30,'Tabelle 14'!$R$15,"")&amp;IF('Tabelle 14'!$C$16=C30,'Tabelle 14'!$R$16,"")&amp;IF('Tabelle 14'!$C$17=C30,'Tabelle 14'!$R$17,"")&amp;IF('Tabelle 14'!$C$18=C30,'Tabelle 14'!$R$18,"")</f>
        <v> </v>
      </c>
      <c r="U30" s="2"/>
      <c r="V30" s="2"/>
      <c r="W30" s="2"/>
      <c r="X30" s="2"/>
      <c r="Y30" s="2"/>
      <c r="Z30" s="2"/>
      <c r="AA30" s="10">
        <f t="shared" si="25"/>
        <v>6</v>
      </c>
      <c r="AB30" s="24" t="str">
        <f t="shared" si="26"/>
        <v>Spieler 6</v>
      </c>
      <c r="AC30" s="102" t="str">
        <f t="shared" si="27"/>
        <v> </v>
      </c>
      <c r="AD30" s="102" t="str">
        <f t="shared" si="28"/>
        <v> </v>
      </c>
      <c r="AE30" s="102" t="str">
        <f t="shared" si="29"/>
        <v> </v>
      </c>
      <c r="AF30" s="102" t="str">
        <f t="shared" si="30"/>
        <v> </v>
      </c>
      <c r="AG30" s="102" t="str">
        <f t="shared" si="31"/>
        <v> </v>
      </c>
      <c r="AH30" s="102" t="str">
        <f t="shared" si="32"/>
        <v> </v>
      </c>
      <c r="AI30" s="102" t="str">
        <f t="shared" si="33"/>
        <v> </v>
      </c>
      <c r="AJ30" s="102" t="str">
        <f t="shared" si="34"/>
        <v> </v>
      </c>
      <c r="AK30" s="102" t="str">
        <f t="shared" si="35"/>
        <v> </v>
      </c>
      <c r="AL30" s="102" t="str">
        <f t="shared" si="36"/>
        <v> </v>
      </c>
      <c r="AM30" s="102" t="str">
        <f t="shared" si="37"/>
        <v> </v>
      </c>
      <c r="AN30" s="102" t="str">
        <f t="shared" si="38"/>
        <v> </v>
      </c>
      <c r="AO30" s="102" t="str">
        <f t="shared" si="39"/>
        <v> </v>
      </c>
      <c r="AP30" s="103" t="str">
        <f t="shared" si="40"/>
        <v> </v>
      </c>
      <c r="AQ30" s="76" t="str">
        <f t="shared" si="41"/>
        <v> </v>
      </c>
      <c r="AR30" s="74">
        <f t="shared" si="42"/>
      </c>
      <c r="AS30" s="57" t="str">
        <f t="shared" si="43"/>
        <v> </v>
      </c>
      <c r="AT30" s="91"/>
      <c r="AU30" s="3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2:77" ht="24.75" customHeight="1">
      <c r="B31" s="10">
        <v>7</v>
      </c>
      <c r="C31" s="24" t="str">
        <f>Eingabe!$C$12</f>
        <v>Spieler 7</v>
      </c>
      <c r="D31" s="52" t="str">
        <f>'14 Spieler'!$Y$37</f>
        <v> </v>
      </c>
      <c r="E31" s="52" t="str">
        <f>'14 Spieler'!$AE$16</f>
        <v> </v>
      </c>
      <c r="F31" s="52" t="str">
        <f>'14 Spieler'!$Q$36</f>
        <v> </v>
      </c>
      <c r="G31" s="52" t="str">
        <f>'14 Spieler'!$W$17</f>
        <v> </v>
      </c>
      <c r="H31" s="52" t="str">
        <f>'14 Spieler'!$I$35</f>
        <v> </v>
      </c>
      <c r="I31" s="52" t="str">
        <f>'14 Spieler'!$O$18</f>
        <v> </v>
      </c>
      <c r="J31" s="63"/>
      <c r="K31" s="52" t="str">
        <f>'14 Spieler'!$I$18</f>
        <v> </v>
      </c>
      <c r="L31" s="52" t="str">
        <f>'14 Spieler'!$W$24</f>
        <v> </v>
      </c>
      <c r="M31" s="52" t="str">
        <f>'14 Spieler'!$I$50</f>
        <v> </v>
      </c>
      <c r="N31" s="52" t="str">
        <f>'14 Spieler'!$O$25</f>
        <v> </v>
      </c>
      <c r="O31" s="52" t="str">
        <f>'14 Spieler'!$AG$38</f>
        <v> </v>
      </c>
      <c r="P31" s="52" t="str">
        <f>'14 Spieler'!$G$26</f>
        <v> </v>
      </c>
      <c r="Q31" s="27" t="str">
        <f>'14 Spieler'!$AE$23</f>
        <v> </v>
      </c>
      <c r="R31" s="76" t="str">
        <f t="shared" si="23"/>
        <v> </v>
      </c>
      <c r="S31" s="74">
        <f t="shared" si="24"/>
      </c>
      <c r="T31" s="57" t="str">
        <f>IF('Tabelle 14'!$C$5=C31,'Tabelle 14'!$R$5,"")&amp;IF('Tabelle 14'!$C$6=C31,'Tabelle 14'!$R$6,"")&amp;IF('Tabelle 14'!$C$7=C31,'Tabelle 14'!$R$7,"")&amp;IF('Tabelle 14'!$C$8=C31,'Tabelle 14'!$R$8,"")&amp;IF('Tabelle 14'!$C$9=C31,'Tabelle 14'!$R$9,"")&amp;IF('Tabelle 14'!$C$10=C31,'Tabelle 14'!$R$10,"")&amp;IF('Tabelle 14'!$C$11=C31,'Tabelle 14'!$R$11,"")&amp;IF('Tabelle 14'!$C$12=C31,'Tabelle 14'!$R$12,"")&amp;IF('Tabelle 14'!$C$13=C31,'Tabelle 14'!$R$13,"")&amp;IF('Tabelle 14'!$C$14=C31,'Tabelle 14'!$R$14,"")&amp;IF('Tabelle 14'!$C$15=C31,'Tabelle 14'!$R$15,"")&amp;IF('Tabelle 14'!$C$16=C31,'Tabelle 14'!$R$16,"")&amp;IF('Tabelle 14'!$C$17=C31,'Tabelle 14'!$R$17,"")&amp;IF('Tabelle 14'!$C$18=C31,'Tabelle 14'!$R$18,"")</f>
        <v> </v>
      </c>
      <c r="U31" s="2"/>
      <c r="V31" s="2"/>
      <c r="W31" s="2"/>
      <c r="X31" s="2"/>
      <c r="Y31" s="2"/>
      <c r="Z31" s="2"/>
      <c r="AA31" s="10">
        <f t="shared" si="25"/>
        <v>7</v>
      </c>
      <c r="AB31" s="24" t="str">
        <f t="shared" si="26"/>
        <v>Spieler 7</v>
      </c>
      <c r="AC31" s="102" t="str">
        <f t="shared" si="27"/>
        <v> </v>
      </c>
      <c r="AD31" s="102" t="str">
        <f t="shared" si="28"/>
        <v> </v>
      </c>
      <c r="AE31" s="102" t="str">
        <f t="shared" si="29"/>
        <v> </v>
      </c>
      <c r="AF31" s="102" t="str">
        <f t="shared" si="30"/>
        <v> </v>
      </c>
      <c r="AG31" s="102" t="str">
        <f t="shared" si="31"/>
        <v> </v>
      </c>
      <c r="AH31" s="102" t="str">
        <f t="shared" si="32"/>
        <v> </v>
      </c>
      <c r="AI31" s="102" t="str">
        <f t="shared" si="33"/>
        <v> </v>
      </c>
      <c r="AJ31" s="102" t="str">
        <f t="shared" si="34"/>
        <v> </v>
      </c>
      <c r="AK31" s="102" t="str">
        <f t="shared" si="35"/>
        <v> </v>
      </c>
      <c r="AL31" s="102" t="str">
        <f t="shared" si="36"/>
        <v> </v>
      </c>
      <c r="AM31" s="102" t="str">
        <f t="shared" si="37"/>
        <v> </v>
      </c>
      <c r="AN31" s="102" t="str">
        <f t="shared" si="38"/>
        <v> </v>
      </c>
      <c r="AO31" s="102" t="str">
        <f t="shared" si="39"/>
        <v> </v>
      </c>
      <c r="AP31" s="103" t="str">
        <f t="shared" si="40"/>
        <v> </v>
      </c>
      <c r="AQ31" s="76" t="str">
        <f t="shared" si="41"/>
        <v> </v>
      </c>
      <c r="AR31" s="74">
        <f t="shared" si="42"/>
      </c>
      <c r="AS31" s="57" t="str">
        <f t="shared" si="43"/>
        <v> </v>
      </c>
      <c r="AT31" s="91"/>
      <c r="AU31" s="3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2:77" ht="24.75" customHeight="1">
      <c r="B32" s="10">
        <v>8</v>
      </c>
      <c r="C32" s="24" t="str">
        <f>Eingabe!$C$13</f>
        <v>Spieler 8</v>
      </c>
      <c r="D32" s="52" t="str">
        <f>'14 Spieler'!$AE$15</f>
        <v> </v>
      </c>
      <c r="E32" s="52" t="str">
        <f>'14 Spieler'!$Q$37</f>
        <v> </v>
      </c>
      <c r="F32" s="52" t="str">
        <f>'14 Spieler'!$W$16</f>
        <v> </v>
      </c>
      <c r="G32" s="52" t="str">
        <f>'14 Spieler'!$I$36</f>
        <v> </v>
      </c>
      <c r="H32" s="52" t="str">
        <f>'14 Spieler'!$O$17</f>
        <v> </v>
      </c>
      <c r="I32" s="52" t="str">
        <f>'14 Spieler'!$AG$24</f>
        <v> </v>
      </c>
      <c r="J32" s="52" t="str">
        <f>'14 Spieler'!$G$18</f>
        <v> </v>
      </c>
      <c r="K32" s="63"/>
      <c r="L32" s="52" t="str">
        <f>'14 Spieler'!$I$51</f>
        <v> </v>
      </c>
      <c r="M32" s="52" t="str">
        <f>'14 Spieler'!$O$24</f>
        <v> </v>
      </c>
      <c r="N32" s="52" t="str">
        <f>'14 Spieler'!$AG$39</f>
        <v> </v>
      </c>
      <c r="O32" s="52" t="str">
        <f>'14 Spieler'!$G$25</f>
        <v> </v>
      </c>
      <c r="P32" s="52" t="str">
        <f>'14 Spieler'!$Y$38</f>
        <v> </v>
      </c>
      <c r="Q32" s="27" t="str">
        <f>'14 Spieler'!$W$23</f>
        <v> </v>
      </c>
      <c r="R32" s="76" t="str">
        <f t="shared" si="23"/>
        <v> </v>
      </c>
      <c r="S32" s="74">
        <f t="shared" si="24"/>
      </c>
      <c r="T32" s="57" t="str">
        <f>IF('Tabelle 14'!$C$5=C32,'Tabelle 14'!$R$5,"")&amp;IF('Tabelle 14'!$C$6=C32,'Tabelle 14'!$R$6,"")&amp;IF('Tabelle 14'!$C$7=C32,'Tabelle 14'!$R$7,"")&amp;IF('Tabelle 14'!$C$8=C32,'Tabelle 14'!$R$8,"")&amp;IF('Tabelle 14'!$C$9=C32,'Tabelle 14'!$R$9,"")&amp;IF('Tabelle 14'!$C$10=C32,'Tabelle 14'!$R$10,"")&amp;IF('Tabelle 14'!$C$11=C32,'Tabelle 14'!$R$11,"")&amp;IF('Tabelle 14'!$C$12=C32,'Tabelle 14'!$R$12,"")&amp;IF('Tabelle 14'!$C$13=C32,'Tabelle 14'!$R$13,"")&amp;IF('Tabelle 14'!$C$14=C32,'Tabelle 14'!$R$14,"")&amp;IF('Tabelle 14'!$C$15=C32,'Tabelle 14'!$R$15,"")&amp;IF('Tabelle 14'!$C$16=C32,'Tabelle 14'!$R$16,"")&amp;IF('Tabelle 14'!$C$17=C32,'Tabelle 14'!$R$17,"")&amp;IF('Tabelle 14'!$C$18=C32,'Tabelle 14'!$R$18,"")</f>
        <v> </v>
      </c>
      <c r="U32" s="2"/>
      <c r="V32" s="2"/>
      <c r="W32" s="2"/>
      <c r="X32" s="2"/>
      <c r="Y32" s="2"/>
      <c r="Z32" s="2"/>
      <c r="AA32" s="10">
        <f t="shared" si="25"/>
        <v>8</v>
      </c>
      <c r="AB32" s="24" t="str">
        <f t="shared" si="26"/>
        <v>Spieler 8</v>
      </c>
      <c r="AC32" s="102" t="str">
        <f t="shared" si="27"/>
        <v> </v>
      </c>
      <c r="AD32" s="102" t="str">
        <f t="shared" si="28"/>
        <v> </v>
      </c>
      <c r="AE32" s="102" t="str">
        <f t="shared" si="29"/>
        <v> </v>
      </c>
      <c r="AF32" s="102" t="str">
        <f t="shared" si="30"/>
        <v> </v>
      </c>
      <c r="AG32" s="102" t="str">
        <f t="shared" si="31"/>
        <v> </v>
      </c>
      <c r="AH32" s="102" t="str">
        <f t="shared" si="32"/>
        <v> </v>
      </c>
      <c r="AI32" s="102" t="str">
        <f t="shared" si="33"/>
        <v> </v>
      </c>
      <c r="AJ32" s="102" t="str">
        <f t="shared" si="34"/>
        <v> </v>
      </c>
      <c r="AK32" s="102" t="str">
        <f t="shared" si="35"/>
        <v> </v>
      </c>
      <c r="AL32" s="102" t="str">
        <f t="shared" si="36"/>
        <v> </v>
      </c>
      <c r="AM32" s="102" t="str">
        <f t="shared" si="37"/>
        <v> </v>
      </c>
      <c r="AN32" s="102" t="str">
        <f t="shared" si="38"/>
        <v> </v>
      </c>
      <c r="AO32" s="102" t="str">
        <f t="shared" si="39"/>
        <v> </v>
      </c>
      <c r="AP32" s="103" t="str">
        <f t="shared" si="40"/>
        <v> </v>
      </c>
      <c r="AQ32" s="76" t="str">
        <f t="shared" si="41"/>
        <v> </v>
      </c>
      <c r="AR32" s="74">
        <f t="shared" si="42"/>
      </c>
      <c r="AS32" s="57" t="str">
        <f t="shared" si="43"/>
        <v> </v>
      </c>
      <c r="AT32" s="91"/>
      <c r="AU32" s="3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2:77" ht="24.75" customHeight="1">
      <c r="B33" s="10">
        <v>9</v>
      </c>
      <c r="C33" s="24" t="str">
        <f>Eingabe!$C$14</f>
        <v>Spieler 9</v>
      </c>
      <c r="D33" s="52" t="str">
        <f>'14 Spieler'!$Q$38</f>
        <v> </v>
      </c>
      <c r="E33" s="52" t="str">
        <f>'14 Spieler'!$W$15</f>
        <v> </v>
      </c>
      <c r="F33" s="52" t="str">
        <f>'14 Spieler'!$I$37</f>
        <v> </v>
      </c>
      <c r="G33" s="52" t="str">
        <f>'14 Spieler'!$O$16</f>
        <v> </v>
      </c>
      <c r="H33" s="52" t="str">
        <f>'14 Spieler'!$AG$25</f>
        <v> </v>
      </c>
      <c r="I33" s="52" t="str">
        <f>'14 Spieler'!$G$17</f>
        <v> </v>
      </c>
      <c r="J33" s="52" t="str">
        <f>'14 Spieler'!$Y$24</f>
        <v> </v>
      </c>
      <c r="K33" s="52" t="str">
        <f>'14 Spieler'!$G$51</f>
        <v> </v>
      </c>
      <c r="L33" s="63"/>
      <c r="M33" s="52" t="str">
        <f>'14 Spieler'!$AG$40</f>
        <v> </v>
      </c>
      <c r="N33" s="52" t="str">
        <f>'14 Spieler'!$G$24</f>
        <v> </v>
      </c>
      <c r="O33" s="52" t="str">
        <f>'14 Spieler'!$Y$39</f>
        <v> </v>
      </c>
      <c r="P33" s="52" t="str">
        <f>'14 Spieler'!$AE$14</f>
        <v> </v>
      </c>
      <c r="Q33" s="27" t="str">
        <f>'14 Spieler'!$O$23</f>
        <v> </v>
      </c>
      <c r="R33" s="76" t="str">
        <f t="shared" si="23"/>
        <v> </v>
      </c>
      <c r="S33" s="74">
        <f t="shared" si="24"/>
      </c>
      <c r="T33" s="57" t="str">
        <f>IF('Tabelle 14'!$C$5=C33,'Tabelle 14'!$R$5,"")&amp;IF('Tabelle 14'!$C$6=C33,'Tabelle 14'!$R$6,"")&amp;IF('Tabelle 14'!$C$7=C33,'Tabelle 14'!$R$7,"")&amp;IF('Tabelle 14'!$C$8=C33,'Tabelle 14'!$R$8,"")&amp;IF('Tabelle 14'!$C$9=C33,'Tabelle 14'!$R$9,"")&amp;IF('Tabelle 14'!$C$10=C33,'Tabelle 14'!$R$10,"")&amp;IF('Tabelle 14'!$C$11=C33,'Tabelle 14'!$R$11,"")&amp;IF('Tabelle 14'!$C$12=C33,'Tabelle 14'!$R$12,"")&amp;IF('Tabelle 14'!$C$13=C33,'Tabelle 14'!$R$13,"")&amp;IF('Tabelle 14'!$C$14=C33,'Tabelle 14'!$R$14,"")&amp;IF('Tabelle 14'!$C$15=C33,'Tabelle 14'!$R$15,"")&amp;IF('Tabelle 14'!$C$16=C33,'Tabelle 14'!$R$16,"")&amp;IF('Tabelle 14'!$C$17=C33,'Tabelle 14'!$R$17,"")&amp;IF('Tabelle 14'!$C$18=C33,'Tabelle 14'!$R$18,"")</f>
        <v> </v>
      </c>
      <c r="U33" s="2"/>
      <c r="V33" s="2"/>
      <c r="W33" s="2"/>
      <c r="X33" s="2"/>
      <c r="Y33" s="2"/>
      <c r="Z33" s="2"/>
      <c r="AA33" s="10">
        <f t="shared" si="25"/>
        <v>9</v>
      </c>
      <c r="AB33" s="24" t="str">
        <f t="shared" si="26"/>
        <v>Spieler 9</v>
      </c>
      <c r="AC33" s="102" t="str">
        <f t="shared" si="27"/>
        <v> </v>
      </c>
      <c r="AD33" s="102" t="str">
        <f t="shared" si="28"/>
        <v> </v>
      </c>
      <c r="AE33" s="102" t="str">
        <f t="shared" si="29"/>
        <v> </v>
      </c>
      <c r="AF33" s="102" t="str">
        <f t="shared" si="30"/>
        <v> </v>
      </c>
      <c r="AG33" s="102" t="str">
        <f t="shared" si="31"/>
        <v> </v>
      </c>
      <c r="AH33" s="102" t="str">
        <f t="shared" si="32"/>
        <v> </v>
      </c>
      <c r="AI33" s="102" t="str">
        <f t="shared" si="33"/>
        <v> </v>
      </c>
      <c r="AJ33" s="102" t="str">
        <f t="shared" si="34"/>
        <v> </v>
      </c>
      <c r="AK33" s="102" t="str">
        <f t="shared" si="35"/>
        <v> </v>
      </c>
      <c r="AL33" s="102" t="str">
        <f t="shared" si="36"/>
        <v> </v>
      </c>
      <c r="AM33" s="102" t="str">
        <f t="shared" si="37"/>
        <v> </v>
      </c>
      <c r="AN33" s="102" t="str">
        <f t="shared" si="38"/>
        <v> </v>
      </c>
      <c r="AO33" s="102" t="str">
        <f t="shared" si="39"/>
        <v> </v>
      </c>
      <c r="AP33" s="103" t="str">
        <f t="shared" si="40"/>
        <v> </v>
      </c>
      <c r="AQ33" s="76" t="str">
        <f t="shared" si="41"/>
        <v> </v>
      </c>
      <c r="AR33" s="74">
        <f t="shared" si="42"/>
      </c>
      <c r="AS33" s="57" t="str">
        <f t="shared" si="43"/>
        <v> </v>
      </c>
      <c r="AT33" s="91"/>
      <c r="AU33" s="3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2:77" ht="24.75" customHeight="1">
      <c r="B34" s="10">
        <v>10</v>
      </c>
      <c r="C34" s="24" t="str">
        <f>Eingabe!$C$15</f>
        <v>Spieler 10</v>
      </c>
      <c r="D34" s="52" t="str">
        <f>'14 Spieler'!$W$14</f>
        <v> </v>
      </c>
      <c r="E34" s="52" t="str">
        <f>'14 Spieler'!$I$38</f>
        <v> </v>
      </c>
      <c r="F34" s="52" t="str">
        <f>'14 Spieler'!$O$15</f>
        <v> </v>
      </c>
      <c r="G34" s="52" t="str">
        <f>'14 Spieler'!$AG$26</f>
        <v> </v>
      </c>
      <c r="H34" s="52" t="str">
        <f>'14 Spieler'!$G$16</f>
        <v> </v>
      </c>
      <c r="I34" s="52" t="str">
        <f>'14 Spieler'!$Y$25</f>
        <v> </v>
      </c>
      <c r="J34" s="52" t="str">
        <f>'14 Spieler'!$G$50</f>
        <v> </v>
      </c>
      <c r="K34" s="52" t="str">
        <f>'14 Spieler'!$Q$24</f>
        <v> </v>
      </c>
      <c r="L34" s="52" t="str">
        <f>'14 Spieler'!$AE$40</f>
        <v> </v>
      </c>
      <c r="M34" s="63"/>
      <c r="N34" s="52" t="str">
        <f>'14 Spieler'!$Y$40</f>
        <v> </v>
      </c>
      <c r="O34" s="52" t="str">
        <f>'14 Spieler'!$AE$13</f>
        <v> </v>
      </c>
      <c r="P34" s="52" t="str">
        <f>'14 Spieler'!$Q$39</f>
        <v> </v>
      </c>
      <c r="Q34" s="27" t="str">
        <f>'14 Spieler'!$G$23</f>
        <v> </v>
      </c>
      <c r="R34" s="76" t="str">
        <f t="shared" si="23"/>
        <v> </v>
      </c>
      <c r="S34" s="74">
        <f t="shared" si="24"/>
      </c>
      <c r="T34" s="57" t="str">
        <f>IF('Tabelle 14'!$C$5=C34,'Tabelle 14'!$R$5,"")&amp;IF('Tabelle 14'!$C$6=C34,'Tabelle 14'!$R$6,"")&amp;IF('Tabelle 14'!$C$7=C34,'Tabelle 14'!$R$7,"")&amp;IF('Tabelle 14'!$C$8=C34,'Tabelle 14'!$R$8,"")&amp;IF('Tabelle 14'!$C$9=C34,'Tabelle 14'!$R$9,"")&amp;IF('Tabelle 14'!$C$10=C34,'Tabelle 14'!$R$10,"")&amp;IF('Tabelle 14'!$C$11=C34,'Tabelle 14'!$R$11,"")&amp;IF('Tabelle 14'!$C$12=C34,'Tabelle 14'!$R$12,"")&amp;IF('Tabelle 14'!$C$13=C34,'Tabelle 14'!$R$13,"")&amp;IF('Tabelle 14'!$C$14=C34,'Tabelle 14'!$R$14,"")&amp;IF('Tabelle 14'!$C$15=C34,'Tabelle 14'!$R$15,"")&amp;IF('Tabelle 14'!$C$16=C34,'Tabelle 14'!$R$16,"")&amp;IF('Tabelle 14'!$C$17=C34,'Tabelle 14'!$R$17,"")&amp;IF('Tabelle 14'!$C$18=C34,'Tabelle 14'!$R$18,"")</f>
        <v> </v>
      </c>
      <c r="U34" s="2"/>
      <c r="V34" s="2"/>
      <c r="W34" s="2"/>
      <c r="X34" s="2"/>
      <c r="Y34" s="2"/>
      <c r="Z34" s="2"/>
      <c r="AA34" s="10">
        <f t="shared" si="25"/>
        <v>10</v>
      </c>
      <c r="AB34" s="24" t="str">
        <f t="shared" si="26"/>
        <v>Spieler 10</v>
      </c>
      <c r="AC34" s="102" t="str">
        <f t="shared" si="27"/>
        <v> </v>
      </c>
      <c r="AD34" s="102" t="str">
        <f t="shared" si="28"/>
        <v> </v>
      </c>
      <c r="AE34" s="102" t="str">
        <f t="shared" si="29"/>
        <v> </v>
      </c>
      <c r="AF34" s="102" t="str">
        <f t="shared" si="30"/>
        <v> </v>
      </c>
      <c r="AG34" s="102" t="str">
        <f t="shared" si="31"/>
        <v> </v>
      </c>
      <c r="AH34" s="102" t="str">
        <f t="shared" si="32"/>
        <v> </v>
      </c>
      <c r="AI34" s="102" t="str">
        <f t="shared" si="33"/>
        <v> </v>
      </c>
      <c r="AJ34" s="102" t="str">
        <f t="shared" si="34"/>
        <v> </v>
      </c>
      <c r="AK34" s="102" t="str">
        <f t="shared" si="35"/>
        <v> </v>
      </c>
      <c r="AL34" s="102" t="str">
        <f t="shared" si="36"/>
        <v> </v>
      </c>
      <c r="AM34" s="102" t="str">
        <f t="shared" si="37"/>
        <v> </v>
      </c>
      <c r="AN34" s="102" t="str">
        <f t="shared" si="38"/>
        <v> </v>
      </c>
      <c r="AO34" s="102" t="str">
        <f t="shared" si="39"/>
        <v> </v>
      </c>
      <c r="AP34" s="103" t="str">
        <f t="shared" si="40"/>
        <v> </v>
      </c>
      <c r="AQ34" s="76" t="str">
        <f t="shared" si="41"/>
        <v> </v>
      </c>
      <c r="AR34" s="74">
        <f t="shared" si="42"/>
      </c>
      <c r="AS34" s="57" t="str">
        <f t="shared" si="43"/>
        <v> </v>
      </c>
      <c r="AT34" s="91"/>
      <c r="AU34" s="3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2:77" ht="24.75" customHeight="1">
      <c r="B35" s="10">
        <v>11</v>
      </c>
      <c r="C35" s="24" t="str">
        <f>Eingabe!$G$6</f>
        <v>Spieler 11</v>
      </c>
      <c r="D35" s="52" t="str">
        <f>'14 Spieler'!$I$39</f>
        <v> </v>
      </c>
      <c r="E35" s="52" t="str">
        <f>'14 Spieler'!$O$14</f>
        <v> </v>
      </c>
      <c r="F35" s="52" t="str">
        <f>'14 Spieler'!$AG$27</f>
        <v> </v>
      </c>
      <c r="G35" s="52" t="str">
        <f>'14 Spieler'!$G$15</f>
        <v> </v>
      </c>
      <c r="H35" s="52" t="str">
        <f>'14 Spieler'!$Y$26</f>
        <v> </v>
      </c>
      <c r="I35" s="52" t="str">
        <f>'14 Spieler'!$G$49</f>
        <v> </v>
      </c>
      <c r="J35" s="52" t="str">
        <f>'14 Spieler'!$Q$25</f>
        <v> </v>
      </c>
      <c r="K35" s="52" t="str">
        <f>'14 Spieler'!$AE$39</f>
        <v> </v>
      </c>
      <c r="L35" s="52" t="str">
        <f>'14 Spieler'!$I$24</f>
        <v> </v>
      </c>
      <c r="M35" s="52" t="str">
        <f>'14 Spieler'!$W$40</f>
        <v> </v>
      </c>
      <c r="N35" s="63"/>
      <c r="O35" s="52" t="str">
        <f>'14 Spieler'!$Q$40</f>
        <v> </v>
      </c>
      <c r="P35" s="52" t="str">
        <f>'14 Spieler'!$W$13</f>
        <v> </v>
      </c>
      <c r="Q35" s="27" t="str">
        <f>'14 Spieler'!$AE$12</f>
        <v> </v>
      </c>
      <c r="R35" s="76" t="str">
        <f t="shared" si="23"/>
        <v> </v>
      </c>
      <c r="S35" s="74">
        <f t="shared" si="24"/>
      </c>
      <c r="T35" s="57" t="str">
        <f>IF('Tabelle 14'!$C$5=C35,'Tabelle 14'!$R$5,"")&amp;IF('Tabelle 14'!$C$6=C35,'Tabelle 14'!$R$6,"")&amp;IF('Tabelle 14'!$C$7=C35,'Tabelle 14'!$R$7,"")&amp;IF('Tabelle 14'!$C$8=C35,'Tabelle 14'!$R$8,"")&amp;IF('Tabelle 14'!$C$9=C35,'Tabelle 14'!$R$9,"")&amp;IF('Tabelle 14'!$C$10=C35,'Tabelle 14'!$R$10,"")&amp;IF('Tabelle 14'!$C$11=C35,'Tabelle 14'!$R$11,"")&amp;IF('Tabelle 14'!$C$12=C35,'Tabelle 14'!$R$12,"")&amp;IF('Tabelle 14'!$C$13=C35,'Tabelle 14'!$R$13,"")&amp;IF('Tabelle 14'!$C$14=C35,'Tabelle 14'!$R$14,"")&amp;IF('Tabelle 14'!$C$15=C35,'Tabelle 14'!$R$15,"")&amp;IF('Tabelle 14'!$C$16=C35,'Tabelle 14'!$R$16,"")&amp;IF('Tabelle 14'!$C$17=C35,'Tabelle 14'!$R$17,"")&amp;IF('Tabelle 14'!$C$18=C35,'Tabelle 14'!$R$18,"")</f>
        <v> </v>
      </c>
      <c r="U35" s="2"/>
      <c r="V35" s="2"/>
      <c r="W35" s="2"/>
      <c r="X35" s="2"/>
      <c r="Y35" s="2"/>
      <c r="Z35" s="2"/>
      <c r="AA35" s="10">
        <f t="shared" si="25"/>
        <v>11</v>
      </c>
      <c r="AB35" s="24" t="str">
        <f t="shared" si="26"/>
        <v>Spieler 11</v>
      </c>
      <c r="AC35" s="102" t="str">
        <f t="shared" si="27"/>
        <v> </v>
      </c>
      <c r="AD35" s="102" t="str">
        <f t="shared" si="28"/>
        <v> </v>
      </c>
      <c r="AE35" s="102" t="str">
        <f t="shared" si="29"/>
        <v> </v>
      </c>
      <c r="AF35" s="102" t="str">
        <f t="shared" si="30"/>
        <v> </v>
      </c>
      <c r="AG35" s="102" t="str">
        <f t="shared" si="31"/>
        <v> </v>
      </c>
      <c r="AH35" s="102" t="str">
        <f t="shared" si="32"/>
        <v> </v>
      </c>
      <c r="AI35" s="102" t="str">
        <f t="shared" si="33"/>
        <v> </v>
      </c>
      <c r="AJ35" s="102" t="str">
        <f t="shared" si="34"/>
        <v> </v>
      </c>
      <c r="AK35" s="102" t="str">
        <f t="shared" si="35"/>
        <v> </v>
      </c>
      <c r="AL35" s="102" t="str">
        <f t="shared" si="36"/>
        <v> </v>
      </c>
      <c r="AM35" s="102" t="str">
        <f t="shared" si="37"/>
        <v> </v>
      </c>
      <c r="AN35" s="102" t="str">
        <f t="shared" si="38"/>
        <v> </v>
      </c>
      <c r="AO35" s="102" t="str">
        <f t="shared" si="39"/>
        <v> </v>
      </c>
      <c r="AP35" s="103" t="str">
        <f t="shared" si="40"/>
        <v> </v>
      </c>
      <c r="AQ35" s="76" t="str">
        <f t="shared" si="41"/>
        <v> </v>
      </c>
      <c r="AR35" s="74">
        <f t="shared" si="42"/>
      </c>
      <c r="AS35" s="57" t="str">
        <f t="shared" si="43"/>
        <v> </v>
      </c>
      <c r="AT35" s="91"/>
      <c r="AU35" s="3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2:77" ht="24.75" customHeight="1">
      <c r="B36" s="10">
        <v>12</v>
      </c>
      <c r="C36" s="24" t="str">
        <f>Eingabe!$G$7</f>
        <v>Spieler 12</v>
      </c>
      <c r="D36" s="52" t="str">
        <f>'14 Spieler'!$O$13</f>
        <v> </v>
      </c>
      <c r="E36" s="52" t="str">
        <f>'14 Spieler'!$AG$28</f>
        <v> </v>
      </c>
      <c r="F36" s="52" t="str">
        <f>'14 Spieler'!$G$14</f>
        <v> </v>
      </c>
      <c r="G36" s="52" t="str">
        <f>'14 Spieler'!$Y$27</f>
        <v> </v>
      </c>
      <c r="H36" s="52" t="str">
        <f>'14 Spieler'!$G$48</f>
        <v> </v>
      </c>
      <c r="I36" s="52" t="str">
        <f>'14 Spieler'!$Q$26</f>
        <v> </v>
      </c>
      <c r="J36" s="52" t="str">
        <f>'14 Spieler'!$AE$38</f>
        <v> </v>
      </c>
      <c r="K36" s="52" t="str">
        <f>'14 Spieler'!$I$25</f>
        <v> </v>
      </c>
      <c r="L36" s="52" t="str">
        <f>'14 Spieler'!$W$39</f>
        <v> </v>
      </c>
      <c r="M36" s="52" t="str">
        <f>'14 Spieler'!$AG$13</f>
        <v> </v>
      </c>
      <c r="N36" s="52" t="str">
        <f>'14 Spieler'!$O$40</f>
        <v> </v>
      </c>
      <c r="O36" s="63"/>
      <c r="P36" s="52" t="str">
        <f>'14 Spieler'!$I$40</f>
        <v> </v>
      </c>
      <c r="Q36" s="27" t="str">
        <f>'14 Spieler'!$W$12</f>
        <v> </v>
      </c>
      <c r="R36" s="76" t="str">
        <f t="shared" si="23"/>
        <v> </v>
      </c>
      <c r="S36" s="74">
        <f t="shared" si="24"/>
      </c>
      <c r="T36" s="57" t="str">
        <f>IF('Tabelle 14'!$C$5=C36,'Tabelle 14'!$R$5,"")&amp;IF('Tabelle 14'!$C$6=C36,'Tabelle 14'!$R$6,"")&amp;IF('Tabelle 14'!$C$7=C36,'Tabelle 14'!$R$7,"")&amp;IF('Tabelle 14'!$C$8=C36,'Tabelle 14'!$R$8,"")&amp;IF('Tabelle 14'!$C$9=C36,'Tabelle 14'!$R$9,"")&amp;IF('Tabelle 14'!$C$10=C36,'Tabelle 14'!$R$10,"")&amp;IF('Tabelle 14'!$C$11=C36,'Tabelle 14'!$R$11,"")&amp;IF('Tabelle 14'!$C$12=C36,'Tabelle 14'!$R$12,"")&amp;IF('Tabelle 14'!$C$13=C36,'Tabelle 14'!$R$13,"")&amp;IF('Tabelle 14'!$C$14=C36,'Tabelle 14'!$R$14,"")&amp;IF('Tabelle 14'!$C$15=C36,'Tabelle 14'!$R$15,"")&amp;IF('Tabelle 14'!$C$16=C36,'Tabelle 14'!$R$16,"")&amp;IF('Tabelle 14'!$C$17=C36,'Tabelle 14'!$R$17,"")&amp;IF('Tabelle 14'!$C$18=C36,'Tabelle 14'!$R$18,"")</f>
        <v> </v>
      </c>
      <c r="U36" s="2"/>
      <c r="V36" s="2"/>
      <c r="W36" s="2"/>
      <c r="X36" s="2"/>
      <c r="Y36" s="2"/>
      <c r="Z36" s="2"/>
      <c r="AA36" s="10">
        <f t="shared" si="25"/>
        <v>12</v>
      </c>
      <c r="AB36" s="24" t="str">
        <f t="shared" si="26"/>
        <v>Spieler 12</v>
      </c>
      <c r="AC36" s="102" t="str">
        <f t="shared" si="27"/>
        <v> </v>
      </c>
      <c r="AD36" s="102" t="str">
        <f t="shared" si="28"/>
        <v> </v>
      </c>
      <c r="AE36" s="102" t="str">
        <f t="shared" si="29"/>
        <v> </v>
      </c>
      <c r="AF36" s="102" t="str">
        <f t="shared" si="30"/>
        <v> </v>
      </c>
      <c r="AG36" s="102" t="str">
        <f t="shared" si="31"/>
        <v> </v>
      </c>
      <c r="AH36" s="102" t="str">
        <f t="shared" si="32"/>
        <v> </v>
      </c>
      <c r="AI36" s="102" t="str">
        <f t="shared" si="33"/>
        <v> </v>
      </c>
      <c r="AJ36" s="102" t="str">
        <f t="shared" si="34"/>
        <v> </v>
      </c>
      <c r="AK36" s="102" t="str">
        <f t="shared" si="35"/>
        <v> </v>
      </c>
      <c r="AL36" s="102" t="str">
        <f t="shared" si="36"/>
        <v> </v>
      </c>
      <c r="AM36" s="102" t="str">
        <f t="shared" si="37"/>
        <v> </v>
      </c>
      <c r="AN36" s="102" t="str">
        <f t="shared" si="38"/>
        <v> </v>
      </c>
      <c r="AO36" s="102" t="str">
        <f t="shared" si="39"/>
        <v> </v>
      </c>
      <c r="AP36" s="103" t="str">
        <f t="shared" si="40"/>
        <v> </v>
      </c>
      <c r="AQ36" s="76" t="str">
        <f t="shared" si="41"/>
        <v> </v>
      </c>
      <c r="AR36" s="74">
        <f t="shared" si="42"/>
      </c>
      <c r="AS36" s="57" t="str">
        <f t="shared" si="43"/>
        <v> </v>
      </c>
      <c r="AT36" s="91"/>
      <c r="AU36" s="3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2:77" ht="24.75" customHeight="1">
      <c r="B37" s="10">
        <v>13</v>
      </c>
      <c r="C37" s="24" t="str">
        <f>Eingabe!$G$8</f>
        <v>Spieler 13</v>
      </c>
      <c r="D37" s="52" t="str">
        <f>'14 Spieler'!$AG$29</f>
        <v> </v>
      </c>
      <c r="E37" s="52" t="str">
        <f>'14 Spieler'!$G$13</f>
        <v> </v>
      </c>
      <c r="F37" s="52" t="str">
        <f>'14 Spieler'!$Y$28</f>
        <v> </v>
      </c>
      <c r="G37" s="52" t="str">
        <f>'14 Spieler'!$G$47</f>
        <v> </v>
      </c>
      <c r="H37" s="52" t="str">
        <f>'14 Spieler'!$Q$27</f>
        <v> </v>
      </c>
      <c r="I37" s="52" t="str">
        <f>'14 Spieler'!$AE$37</f>
        <v> </v>
      </c>
      <c r="J37" s="52" t="str">
        <f>'14 Spieler'!$I$26</f>
        <v> </v>
      </c>
      <c r="K37" s="52" t="str">
        <f>'14 Spieler'!$W$38</f>
        <v> </v>
      </c>
      <c r="L37" s="52" t="str">
        <f>'14 Spieler'!$AG$14</f>
        <v> </v>
      </c>
      <c r="M37" s="52" t="str">
        <f>'14 Spieler'!$O$39</f>
        <v> </v>
      </c>
      <c r="N37" s="52" t="str">
        <f>'14 Spieler'!$Y$13</f>
        <v> </v>
      </c>
      <c r="O37" s="52" t="str">
        <f>'14 Spieler'!$G$40</f>
        <v> </v>
      </c>
      <c r="P37" s="63"/>
      <c r="Q37" s="27" t="str">
        <f>'14 Spieler'!$O$12</f>
        <v> </v>
      </c>
      <c r="R37" s="76" t="str">
        <f t="shared" si="23"/>
        <v> </v>
      </c>
      <c r="S37" s="74">
        <f t="shared" si="24"/>
      </c>
      <c r="T37" s="57" t="str">
        <f>IF('Tabelle 14'!$C$5=C37,'Tabelle 14'!$R$5,"")&amp;IF('Tabelle 14'!$C$6=C37,'Tabelle 14'!$R$6,"")&amp;IF('Tabelle 14'!$C$7=C37,'Tabelle 14'!$R$7,"")&amp;IF('Tabelle 14'!$C$8=C37,'Tabelle 14'!$R$8,"")&amp;IF('Tabelle 14'!$C$9=C37,'Tabelle 14'!$R$9,"")&amp;IF('Tabelle 14'!$C$10=C37,'Tabelle 14'!$R$10,"")&amp;IF('Tabelle 14'!$C$11=C37,'Tabelle 14'!$R$11,"")&amp;IF('Tabelle 14'!$C$12=C37,'Tabelle 14'!$R$12,"")&amp;IF('Tabelle 14'!$C$13=C37,'Tabelle 14'!$R$13,"")&amp;IF('Tabelle 14'!$C$14=C37,'Tabelle 14'!$R$14,"")&amp;IF('Tabelle 14'!$C$15=C37,'Tabelle 14'!$R$15,"")&amp;IF('Tabelle 14'!$C$16=C37,'Tabelle 14'!$R$16,"")&amp;IF('Tabelle 14'!$C$17=C37,'Tabelle 14'!$R$17,"")&amp;IF('Tabelle 14'!$C$18=C37,'Tabelle 14'!$R$18,"")</f>
        <v> </v>
      </c>
      <c r="U37" s="2"/>
      <c r="V37" s="2"/>
      <c r="W37" s="2"/>
      <c r="X37" s="2"/>
      <c r="Y37" s="2"/>
      <c r="Z37" s="2"/>
      <c r="AA37" s="10">
        <f t="shared" si="25"/>
        <v>13</v>
      </c>
      <c r="AB37" s="24" t="str">
        <f t="shared" si="26"/>
        <v>Spieler 13</v>
      </c>
      <c r="AC37" s="102" t="str">
        <f t="shared" si="27"/>
        <v> </v>
      </c>
      <c r="AD37" s="102" t="str">
        <f t="shared" si="28"/>
        <v> </v>
      </c>
      <c r="AE37" s="102" t="str">
        <f t="shared" si="29"/>
        <v> </v>
      </c>
      <c r="AF37" s="102" t="str">
        <f t="shared" si="30"/>
        <v> </v>
      </c>
      <c r="AG37" s="102" t="str">
        <f t="shared" si="31"/>
        <v> </v>
      </c>
      <c r="AH37" s="102" t="str">
        <f t="shared" si="32"/>
        <v> </v>
      </c>
      <c r="AI37" s="102" t="str">
        <f t="shared" si="33"/>
        <v> </v>
      </c>
      <c r="AJ37" s="102" t="str">
        <f t="shared" si="34"/>
        <v> </v>
      </c>
      <c r="AK37" s="102" t="str">
        <f t="shared" si="35"/>
        <v> </v>
      </c>
      <c r="AL37" s="102" t="str">
        <f t="shared" si="36"/>
        <v> </v>
      </c>
      <c r="AM37" s="102" t="str">
        <f t="shared" si="37"/>
        <v> </v>
      </c>
      <c r="AN37" s="102" t="str">
        <f t="shared" si="38"/>
        <v> </v>
      </c>
      <c r="AO37" s="102" t="str">
        <f t="shared" si="39"/>
        <v> </v>
      </c>
      <c r="AP37" s="103" t="str">
        <f t="shared" si="40"/>
        <v> </v>
      </c>
      <c r="AQ37" s="76" t="str">
        <f t="shared" si="41"/>
        <v> </v>
      </c>
      <c r="AR37" s="74">
        <f t="shared" si="42"/>
      </c>
      <c r="AS37" s="57" t="str">
        <f t="shared" si="43"/>
        <v> </v>
      </c>
      <c r="AT37" s="91"/>
      <c r="AU37" s="3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2:77" ht="24.75" customHeight="1" thickBot="1">
      <c r="B38" s="23">
        <v>14</v>
      </c>
      <c r="C38" s="25" t="str">
        <f>Eingabe!$G$9</f>
        <v>Spieler / spielfrei</v>
      </c>
      <c r="D38" s="53" t="str">
        <f>'14 Spieler'!$I$12</f>
        <v> </v>
      </c>
      <c r="E38" s="53" t="str">
        <f>'14 Spieler'!$I$45</f>
        <v> </v>
      </c>
      <c r="F38" s="53" t="str">
        <f>'14 Spieler'!$AG$34</f>
        <v> </v>
      </c>
      <c r="G38" s="53" t="str">
        <f>'14 Spieler'!$Y$34</f>
        <v> </v>
      </c>
      <c r="H38" s="53" t="str">
        <f>'14 Spieler'!$Q$34</f>
        <v> </v>
      </c>
      <c r="I38" s="53" t="str">
        <f>'14 Spieler'!$I$34</f>
        <v> </v>
      </c>
      <c r="J38" s="53" t="str">
        <f>'14 Spieler'!$AG$23</f>
        <v> </v>
      </c>
      <c r="K38" s="53" t="str">
        <f>'14 Spieler'!$Y$23</f>
        <v> </v>
      </c>
      <c r="L38" s="53" t="str">
        <f>'14 Spieler'!$Q$23</f>
        <v> </v>
      </c>
      <c r="M38" s="53" t="str">
        <f>'14 Spieler'!$I$23</f>
        <v> </v>
      </c>
      <c r="N38" s="53" t="str">
        <f>'14 Spieler'!$AG$12</f>
        <v> </v>
      </c>
      <c r="O38" s="53" t="str">
        <f>'14 Spieler'!$Y$12</f>
        <v> </v>
      </c>
      <c r="P38" s="53" t="str">
        <f>'14 Spieler'!$Q$12</f>
        <v> </v>
      </c>
      <c r="Q38" s="66"/>
      <c r="R38" s="77" t="str">
        <f>IF($C$38="spielfrei",-0.001,IF(COUNT($Q$25,$P$26,$O$27,$N$28,$M$29,$L$30,$K$31,$J$32,$I$33,$H$34,$G$35,$F$36,$E$37,$D$38)&gt;0,SUM(D38:Q38)," "))</f>
        <v> </v>
      </c>
      <c r="S38" s="75">
        <f t="shared" si="24"/>
      </c>
      <c r="T38" s="58" t="str">
        <f>IF('Tabelle 14'!$C$5=C38,'Tabelle 14'!$R$5,"")&amp;IF('Tabelle 14'!$C$6=C38,'Tabelle 14'!$R$6,"")&amp;IF('Tabelle 14'!$C$7=C38,'Tabelle 14'!$R$7,"")&amp;IF('Tabelle 14'!$C$8=C38,'Tabelle 14'!$R$8,"")&amp;IF('Tabelle 14'!$C$9=C38,'Tabelle 14'!$R$9,"")&amp;IF('Tabelle 14'!$C$10=C38,'Tabelle 14'!$R$10,"")&amp;IF('Tabelle 14'!$C$11=C38,'Tabelle 14'!$R$11,"")&amp;IF('Tabelle 14'!$C$12=C38,'Tabelle 14'!$R$12,"")&amp;IF('Tabelle 14'!$C$13=C38,'Tabelle 14'!$R$13,"")&amp;IF('Tabelle 14'!$C$14=C38,'Tabelle 14'!$R$14,"")&amp;IF('Tabelle 14'!$C$15=C38,'Tabelle 14'!$R$15,"")&amp;IF('Tabelle 14'!$C$16=C38,'Tabelle 14'!$R$16,"")&amp;IF('Tabelle 14'!$C$17=C38,'Tabelle 14'!$R$17,"")&amp;IF('Tabelle 14'!$C$18=C38,'Tabelle 14'!$R$18,"")</f>
        <v> </v>
      </c>
      <c r="U38" s="2"/>
      <c r="V38" s="2"/>
      <c r="W38" s="2"/>
      <c r="X38" s="2"/>
      <c r="Y38" s="2"/>
      <c r="Z38" s="2"/>
      <c r="AA38" s="23">
        <f t="shared" si="25"/>
        <v>14</v>
      </c>
      <c r="AB38" s="25" t="str">
        <f t="shared" si="26"/>
        <v>Spieler / spielfrei</v>
      </c>
      <c r="AC38" s="104" t="str">
        <f t="shared" si="27"/>
        <v> </v>
      </c>
      <c r="AD38" s="104" t="str">
        <f t="shared" si="28"/>
        <v> </v>
      </c>
      <c r="AE38" s="104" t="str">
        <f t="shared" si="29"/>
        <v> </v>
      </c>
      <c r="AF38" s="104" t="str">
        <f t="shared" si="30"/>
        <v> </v>
      </c>
      <c r="AG38" s="104" t="str">
        <f t="shared" si="31"/>
        <v> </v>
      </c>
      <c r="AH38" s="104" t="str">
        <f t="shared" si="32"/>
        <v> </v>
      </c>
      <c r="AI38" s="104" t="str">
        <f t="shared" si="33"/>
        <v> </v>
      </c>
      <c r="AJ38" s="104" t="str">
        <f t="shared" si="34"/>
        <v> </v>
      </c>
      <c r="AK38" s="104" t="str">
        <f t="shared" si="35"/>
        <v> </v>
      </c>
      <c r="AL38" s="104" t="str">
        <f t="shared" si="36"/>
        <v> </v>
      </c>
      <c r="AM38" s="104" t="str">
        <f t="shared" si="37"/>
        <v> </v>
      </c>
      <c r="AN38" s="104" t="str">
        <f t="shared" si="38"/>
        <v> </v>
      </c>
      <c r="AO38" s="104" t="str">
        <f t="shared" si="39"/>
        <v> </v>
      </c>
      <c r="AP38" s="105" t="str">
        <f t="shared" si="40"/>
        <v> </v>
      </c>
      <c r="AQ38" s="77" t="str">
        <f t="shared" si="41"/>
        <v> </v>
      </c>
      <c r="AR38" s="75">
        <f t="shared" si="42"/>
      </c>
      <c r="AS38" s="58" t="str">
        <f t="shared" si="43"/>
        <v> </v>
      </c>
      <c r="AT38" s="91"/>
      <c r="AU38" s="3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41" spans="29:42" ht="12.75">
      <c r="AC41" s="1" t="str">
        <f>IF(AC42=1,"AC","")&amp;IF(AC42=2,"AD","")&amp;IF(AC42=3,"AE","")&amp;IF(AC42=4,"AF","")&amp;IF(AC42=5,"AG","")&amp;IF(AC42=6,"AH","")&amp;IF(AC42=7,"AI","")&amp;IF(AC42=8,"AJ","")&amp;IF(AC42=9,"AK","")&amp;IF(AC42=10,"AL","")&amp;IF(AC42=11,"AM","")&amp;IF(AC42=12,"AN","")&amp;IF(AC42=13,"AO","")&amp;IF(AC42=14,"AP","")</f>
        <v>AC</v>
      </c>
      <c r="AD41" s="1" t="str">
        <f aca="true" t="shared" si="44" ref="AD41:AP41">IF(AD42=1,"AC","")&amp;IF(AD42=2,"AD","")&amp;IF(AD42=3,"AE","")&amp;IF(AD42=4,"AF","")&amp;IF(AD42=5,"AG","")&amp;IF(AD42=6,"AH","")&amp;IF(AD42=7,"AI","")&amp;IF(AD42=8,"AJ","")&amp;IF(AD42=9,"AK","")&amp;IF(AD42=10,"AL","")&amp;IF(AD42=11,"AM","")&amp;IF(AD42=12,"AN","")&amp;IF(AD42=13,"AO","")&amp;IF(AD42=14,"AP","")</f>
        <v>AD</v>
      </c>
      <c r="AE41" s="1" t="str">
        <f t="shared" si="44"/>
        <v>AE</v>
      </c>
      <c r="AF41" s="1" t="str">
        <f t="shared" si="44"/>
        <v>AF</v>
      </c>
      <c r="AG41" s="1" t="str">
        <f t="shared" si="44"/>
        <v>AG</v>
      </c>
      <c r="AH41" s="1" t="str">
        <f t="shared" si="44"/>
        <v>AH</v>
      </c>
      <c r="AI41" s="1" t="str">
        <f t="shared" si="44"/>
        <v>AI</v>
      </c>
      <c r="AJ41" s="1" t="str">
        <f t="shared" si="44"/>
        <v>AJ</v>
      </c>
      <c r="AK41" s="1" t="str">
        <f t="shared" si="44"/>
        <v>AK</v>
      </c>
      <c r="AL41" s="1" t="str">
        <f t="shared" si="44"/>
        <v>AL</v>
      </c>
      <c r="AM41" s="1" t="str">
        <f t="shared" si="44"/>
        <v>AM</v>
      </c>
      <c r="AN41" s="1" t="str">
        <f t="shared" si="44"/>
        <v>AN</v>
      </c>
      <c r="AO41" s="1" t="str">
        <f t="shared" si="44"/>
        <v>AO</v>
      </c>
      <c r="AP41" s="1" t="str">
        <f t="shared" si="44"/>
        <v>AP</v>
      </c>
    </row>
    <row r="42" spans="29:42" ht="12.75">
      <c r="AC42" s="1">
        <f>$AA$25</f>
        <v>1</v>
      </c>
      <c r="AD42" s="1">
        <f>$AA$26</f>
        <v>2</v>
      </c>
      <c r="AE42" s="1">
        <f>$AA$27</f>
        <v>3</v>
      </c>
      <c r="AF42" s="1">
        <f>$AA$28</f>
        <v>4</v>
      </c>
      <c r="AG42" s="1">
        <f>$AA$29</f>
        <v>5</v>
      </c>
      <c r="AH42" s="1">
        <f>$AA$30</f>
        <v>6</v>
      </c>
      <c r="AI42" s="1">
        <f>$AA$31</f>
        <v>7</v>
      </c>
      <c r="AJ42" s="1">
        <f>$AA$32</f>
        <v>8</v>
      </c>
      <c r="AK42" s="1">
        <f>$AA$33</f>
        <v>9</v>
      </c>
      <c r="AL42" s="1">
        <f>$AA$34</f>
        <v>10</v>
      </c>
      <c r="AM42" s="1">
        <f>$AA$35</f>
        <v>11</v>
      </c>
      <c r="AN42" s="1">
        <f>$AA$36</f>
        <v>12</v>
      </c>
      <c r="AO42" s="1">
        <f>$AA$37</f>
        <v>13</v>
      </c>
      <c r="AP42" s="1">
        <f>$AA$38</f>
        <v>14</v>
      </c>
    </row>
    <row r="43" spans="28:42" ht="12.75">
      <c r="AB43">
        <v>25</v>
      </c>
      <c r="AC43" t="str">
        <f ca="1" t="shared" si="45" ref="AC43:AC56">INDIRECT(AC$41&amp;$AB43)</f>
        <v> </v>
      </c>
      <c r="AD43" t="str">
        <f ca="1" t="shared" si="46" ref="AD43:AP56">INDIRECT(AD$41&amp;$AB43)</f>
        <v> </v>
      </c>
      <c r="AE43" t="str">
        <f ca="1" t="shared" si="46"/>
        <v> </v>
      </c>
      <c r="AF43" t="str">
        <f ca="1" t="shared" si="46"/>
        <v> </v>
      </c>
      <c r="AG43" t="str">
        <f ca="1" t="shared" si="46"/>
        <v> </v>
      </c>
      <c r="AH43" t="str">
        <f ca="1" t="shared" si="46"/>
        <v> </v>
      </c>
      <c r="AI43" t="str">
        <f ca="1" t="shared" si="46"/>
        <v> </v>
      </c>
      <c r="AJ43" t="str">
        <f ca="1" t="shared" si="46"/>
        <v> </v>
      </c>
      <c r="AK43" t="str">
        <f ca="1" t="shared" si="46"/>
        <v> </v>
      </c>
      <c r="AL43" t="str">
        <f ca="1" t="shared" si="46"/>
        <v> </v>
      </c>
      <c r="AM43" t="str">
        <f ca="1" t="shared" si="46"/>
        <v> </v>
      </c>
      <c r="AN43" t="str">
        <f ca="1" t="shared" si="46"/>
        <v> </v>
      </c>
      <c r="AO43" t="str">
        <f ca="1" t="shared" si="46"/>
        <v> </v>
      </c>
      <c r="AP43" t="str">
        <f ca="1" t="shared" si="46"/>
        <v> </v>
      </c>
    </row>
    <row r="44" spans="28:42" ht="12.75">
      <c r="AB44">
        <v>26</v>
      </c>
      <c r="AC44" t="str">
        <f ca="1" t="shared" si="45"/>
        <v> </v>
      </c>
      <c r="AD44" t="str">
        <f ca="1" t="shared" si="46"/>
        <v> </v>
      </c>
      <c r="AE44" t="str">
        <f ca="1" t="shared" si="46"/>
        <v> </v>
      </c>
      <c r="AF44" t="str">
        <f ca="1" t="shared" si="46"/>
        <v> </v>
      </c>
      <c r="AG44" t="str">
        <f ca="1" t="shared" si="46"/>
        <v> </v>
      </c>
      <c r="AH44" t="str">
        <f ca="1" t="shared" si="46"/>
        <v> </v>
      </c>
      <c r="AI44" t="str">
        <f ca="1" t="shared" si="46"/>
        <v> </v>
      </c>
      <c r="AJ44" t="str">
        <f ca="1" t="shared" si="46"/>
        <v> </v>
      </c>
      <c r="AK44" t="str">
        <f ca="1" t="shared" si="46"/>
        <v> </v>
      </c>
      <c r="AL44" t="str">
        <f ca="1" t="shared" si="46"/>
        <v> </v>
      </c>
      <c r="AM44" t="str">
        <f ca="1" t="shared" si="46"/>
        <v> </v>
      </c>
      <c r="AN44" t="str">
        <f ca="1" t="shared" si="46"/>
        <v> </v>
      </c>
      <c r="AO44" t="str">
        <f ca="1" t="shared" si="46"/>
        <v> </v>
      </c>
      <c r="AP44" t="str">
        <f ca="1" t="shared" si="46"/>
        <v> </v>
      </c>
    </row>
    <row r="45" spans="28:42" ht="12.75">
      <c r="AB45">
        <v>27</v>
      </c>
      <c r="AC45" t="str">
        <f ca="1" t="shared" si="45"/>
        <v> </v>
      </c>
      <c r="AD45" t="str">
        <f ca="1" t="shared" si="46"/>
        <v> </v>
      </c>
      <c r="AE45" t="str">
        <f ca="1" t="shared" si="46"/>
        <v> </v>
      </c>
      <c r="AF45" t="str">
        <f ca="1" t="shared" si="46"/>
        <v> </v>
      </c>
      <c r="AG45" t="str">
        <f ca="1" t="shared" si="46"/>
        <v> </v>
      </c>
      <c r="AH45" t="str">
        <f ca="1" t="shared" si="46"/>
        <v> </v>
      </c>
      <c r="AI45" t="str">
        <f ca="1" t="shared" si="46"/>
        <v> </v>
      </c>
      <c r="AJ45" t="str">
        <f ca="1" t="shared" si="46"/>
        <v> </v>
      </c>
      <c r="AK45" t="str">
        <f ca="1" t="shared" si="46"/>
        <v> </v>
      </c>
      <c r="AL45" t="str">
        <f ca="1" t="shared" si="46"/>
        <v> </v>
      </c>
      <c r="AM45" t="str">
        <f ca="1" t="shared" si="46"/>
        <v> </v>
      </c>
      <c r="AN45" t="str">
        <f ca="1" t="shared" si="46"/>
        <v> </v>
      </c>
      <c r="AO45" t="str">
        <f ca="1" t="shared" si="46"/>
        <v> </v>
      </c>
      <c r="AP45" t="str">
        <f ca="1" t="shared" si="46"/>
        <v> </v>
      </c>
    </row>
    <row r="46" spans="28:42" ht="12.75">
      <c r="AB46">
        <v>28</v>
      </c>
      <c r="AC46" t="str">
        <f ca="1" t="shared" si="45"/>
        <v> </v>
      </c>
      <c r="AD46" t="str">
        <f ca="1" t="shared" si="46"/>
        <v> </v>
      </c>
      <c r="AE46" t="str">
        <f ca="1" t="shared" si="46"/>
        <v> </v>
      </c>
      <c r="AF46" t="str">
        <f ca="1" t="shared" si="46"/>
        <v> </v>
      </c>
      <c r="AG46" t="str">
        <f ca="1" t="shared" si="46"/>
        <v> </v>
      </c>
      <c r="AH46" t="str">
        <f ca="1" t="shared" si="46"/>
        <v> </v>
      </c>
      <c r="AI46" t="str">
        <f ca="1" t="shared" si="46"/>
        <v> </v>
      </c>
      <c r="AJ46" t="str">
        <f ca="1" t="shared" si="46"/>
        <v> </v>
      </c>
      <c r="AK46" t="str">
        <f ca="1" t="shared" si="46"/>
        <v> </v>
      </c>
      <c r="AL46" t="str">
        <f ca="1" t="shared" si="46"/>
        <v> </v>
      </c>
      <c r="AM46" t="str">
        <f ca="1" t="shared" si="46"/>
        <v> </v>
      </c>
      <c r="AN46" t="str">
        <f ca="1" t="shared" si="46"/>
        <v> </v>
      </c>
      <c r="AO46" t="str">
        <f ca="1" t="shared" si="46"/>
        <v> </v>
      </c>
      <c r="AP46" t="str">
        <f ca="1" t="shared" si="46"/>
        <v> </v>
      </c>
    </row>
    <row r="47" spans="28:42" ht="12.75">
      <c r="AB47">
        <v>29</v>
      </c>
      <c r="AC47" t="str">
        <f ca="1" t="shared" si="45"/>
        <v> </v>
      </c>
      <c r="AD47" t="str">
        <f ca="1" t="shared" si="46"/>
        <v> </v>
      </c>
      <c r="AE47" t="str">
        <f ca="1" t="shared" si="46"/>
        <v> </v>
      </c>
      <c r="AF47" t="str">
        <f ca="1" t="shared" si="46"/>
        <v> </v>
      </c>
      <c r="AG47" t="str">
        <f ca="1" t="shared" si="46"/>
        <v> </v>
      </c>
      <c r="AH47" t="str">
        <f ca="1" t="shared" si="46"/>
        <v> </v>
      </c>
      <c r="AI47" t="str">
        <f ca="1" t="shared" si="46"/>
        <v> </v>
      </c>
      <c r="AJ47" t="str">
        <f ca="1" t="shared" si="46"/>
        <v> </v>
      </c>
      <c r="AK47" t="str">
        <f ca="1" t="shared" si="46"/>
        <v> </v>
      </c>
      <c r="AL47" t="str">
        <f ca="1" t="shared" si="46"/>
        <v> </v>
      </c>
      <c r="AM47" t="str">
        <f ca="1" t="shared" si="46"/>
        <v> </v>
      </c>
      <c r="AN47" t="str">
        <f ca="1" t="shared" si="46"/>
        <v> </v>
      </c>
      <c r="AO47" t="str">
        <f ca="1" t="shared" si="46"/>
        <v> </v>
      </c>
      <c r="AP47" t="str">
        <f ca="1" t="shared" si="46"/>
        <v> </v>
      </c>
    </row>
    <row r="48" spans="28:42" ht="12.75">
      <c r="AB48">
        <v>30</v>
      </c>
      <c r="AC48" t="str">
        <f ca="1" t="shared" si="45"/>
        <v> </v>
      </c>
      <c r="AD48" t="str">
        <f ca="1" t="shared" si="46"/>
        <v> </v>
      </c>
      <c r="AE48" t="str">
        <f ca="1" t="shared" si="46"/>
        <v> </v>
      </c>
      <c r="AF48" t="str">
        <f ca="1" t="shared" si="46"/>
        <v> </v>
      </c>
      <c r="AG48" t="str">
        <f ca="1" t="shared" si="46"/>
        <v> </v>
      </c>
      <c r="AH48" t="str">
        <f ca="1" t="shared" si="46"/>
        <v> </v>
      </c>
      <c r="AI48" t="str">
        <f ca="1" t="shared" si="46"/>
        <v> </v>
      </c>
      <c r="AJ48" t="str">
        <f ca="1" t="shared" si="46"/>
        <v> </v>
      </c>
      <c r="AK48" t="str">
        <f ca="1" t="shared" si="46"/>
        <v> </v>
      </c>
      <c r="AL48" t="str">
        <f ca="1" t="shared" si="46"/>
        <v> </v>
      </c>
      <c r="AM48" t="str">
        <f ca="1" t="shared" si="46"/>
        <v> </v>
      </c>
      <c r="AN48" t="str">
        <f ca="1" t="shared" si="46"/>
        <v> </v>
      </c>
      <c r="AO48" t="str">
        <f ca="1" t="shared" si="46"/>
        <v> </v>
      </c>
      <c r="AP48" t="str">
        <f ca="1" t="shared" si="46"/>
        <v> </v>
      </c>
    </row>
    <row r="49" spans="28:42" ht="12.75">
      <c r="AB49">
        <v>31</v>
      </c>
      <c r="AC49" t="str">
        <f ca="1" t="shared" si="45"/>
        <v> </v>
      </c>
      <c r="AD49" t="str">
        <f ca="1" t="shared" si="46"/>
        <v> </v>
      </c>
      <c r="AE49" t="str">
        <f ca="1" t="shared" si="46"/>
        <v> </v>
      </c>
      <c r="AF49" t="str">
        <f ca="1" t="shared" si="46"/>
        <v> </v>
      </c>
      <c r="AG49" t="str">
        <f ca="1" t="shared" si="46"/>
        <v> </v>
      </c>
      <c r="AH49" t="str">
        <f ca="1" t="shared" si="46"/>
        <v> </v>
      </c>
      <c r="AI49" t="str">
        <f ca="1" t="shared" si="46"/>
        <v> </v>
      </c>
      <c r="AJ49" t="str">
        <f ca="1" t="shared" si="46"/>
        <v> </v>
      </c>
      <c r="AK49" t="str">
        <f ca="1" t="shared" si="46"/>
        <v> </v>
      </c>
      <c r="AL49" t="str">
        <f ca="1" t="shared" si="46"/>
        <v> </v>
      </c>
      <c r="AM49" t="str">
        <f ca="1" t="shared" si="46"/>
        <v> </v>
      </c>
      <c r="AN49" t="str">
        <f ca="1" t="shared" si="46"/>
        <v> </v>
      </c>
      <c r="AO49" t="str">
        <f ca="1" t="shared" si="46"/>
        <v> </v>
      </c>
      <c r="AP49" t="str">
        <f ca="1" t="shared" si="46"/>
        <v> </v>
      </c>
    </row>
    <row r="50" spans="28:42" ht="12.75">
      <c r="AB50">
        <v>32</v>
      </c>
      <c r="AC50" t="str">
        <f ca="1" t="shared" si="45"/>
        <v> </v>
      </c>
      <c r="AD50" t="str">
        <f ca="1" t="shared" si="46"/>
        <v> </v>
      </c>
      <c r="AE50" t="str">
        <f ca="1" t="shared" si="46"/>
        <v> </v>
      </c>
      <c r="AF50" t="str">
        <f ca="1" t="shared" si="46"/>
        <v> </v>
      </c>
      <c r="AG50" t="str">
        <f ca="1" t="shared" si="46"/>
        <v> </v>
      </c>
      <c r="AH50" t="str">
        <f ca="1" t="shared" si="46"/>
        <v> </v>
      </c>
      <c r="AI50" t="str">
        <f ca="1" t="shared" si="46"/>
        <v> </v>
      </c>
      <c r="AJ50" t="str">
        <f ca="1" t="shared" si="46"/>
        <v> </v>
      </c>
      <c r="AK50" t="str">
        <f ca="1" t="shared" si="46"/>
        <v> </v>
      </c>
      <c r="AL50" t="str">
        <f ca="1" t="shared" si="46"/>
        <v> </v>
      </c>
      <c r="AM50" t="str">
        <f ca="1" t="shared" si="46"/>
        <v> </v>
      </c>
      <c r="AN50" t="str">
        <f ca="1" t="shared" si="46"/>
        <v> </v>
      </c>
      <c r="AO50" t="str">
        <f ca="1" t="shared" si="46"/>
        <v> </v>
      </c>
      <c r="AP50" t="str">
        <f ca="1" t="shared" si="46"/>
        <v> </v>
      </c>
    </row>
    <row r="51" spans="28:42" ht="12.75">
      <c r="AB51">
        <v>33</v>
      </c>
      <c r="AC51" t="str">
        <f ca="1" t="shared" si="45"/>
        <v> </v>
      </c>
      <c r="AD51" t="str">
        <f ca="1" t="shared" si="46"/>
        <v> </v>
      </c>
      <c r="AE51" t="str">
        <f ca="1" t="shared" si="46"/>
        <v> </v>
      </c>
      <c r="AF51" t="str">
        <f ca="1" t="shared" si="46"/>
        <v> </v>
      </c>
      <c r="AG51" t="str">
        <f ca="1" t="shared" si="46"/>
        <v> </v>
      </c>
      <c r="AH51" t="str">
        <f ca="1" t="shared" si="46"/>
        <v> </v>
      </c>
      <c r="AI51" t="str">
        <f ca="1" t="shared" si="46"/>
        <v> </v>
      </c>
      <c r="AJ51" t="str">
        <f ca="1" t="shared" si="46"/>
        <v> </v>
      </c>
      <c r="AK51" t="str">
        <f ca="1" t="shared" si="46"/>
        <v> </v>
      </c>
      <c r="AL51" t="str">
        <f ca="1" t="shared" si="46"/>
        <v> </v>
      </c>
      <c r="AM51" t="str">
        <f ca="1" t="shared" si="46"/>
        <v> </v>
      </c>
      <c r="AN51" t="str">
        <f ca="1" t="shared" si="46"/>
        <v> </v>
      </c>
      <c r="AO51" t="str">
        <f ca="1" t="shared" si="46"/>
        <v> </v>
      </c>
      <c r="AP51" t="str">
        <f ca="1" t="shared" si="46"/>
        <v> </v>
      </c>
    </row>
    <row r="52" spans="28:42" ht="12.75">
      <c r="AB52">
        <v>34</v>
      </c>
      <c r="AC52" t="str">
        <f ca="1" t="shared" si="45"/>
        <v> </v>
      </c>
      <c r="AD52" t="str">
        <f ca="1" t="shared" si="46"/>
        <v> </v>
      </c>
      <c r="AE52" t="str">
        <f ca="1" t="shared" si="46"/>
        <v> </v>
      </c>
      <c r="AF52" t="str">
        <f ca="1" t="shared" si="46"/>
        <v> </v>
      </c>
      <c r="AG52" t="str">
        <f ca="1" t="shared" si="46"/>
        <v> </v>
      </c>
      <c r="AH52" t="str">
        <f ca="1" t="shared" si="46"/>
        <v> </v>
      </c>
      <c r="AI52" t="str">
        <f ca="1" t="shared" si="46"/>
        <v> </v>
      </c>
      <c r="AJ52" t="str">
        <f ca="1" t="shared" si="46"/>
        <v> </v>
      </c>
      <c r="AK52" t="str">
        <f ca="1" t="shared" si="46"/>
        <v> </v>
      </c>
      <c r="AL52" t="str">
        <f ca="1" t="shared" si="46"/>
        <v> </v>
      </c>
      <c r="AM52" t="str">
        <f ca="1" t="shared" si="46"/>
        <v> </v>
      </c>
      <c r="AN52" t="str">
        <f ca="1" t="shared" si="46"/>
        <v> </v>
      </c>
      <c r="AO52" t="str">
        <f ca="1" t="shared" si="46"/>
        <v> </v>
      </c>
      <c r="AP52" t="str">
        <f ca="1" t="shared" si="46"/>
        <v> </v>
      </c>
    </row>
    <row r="53" spans="28:42" ht="12.75">
      <c r="AB53">
        <v>35</v>
      </c>
      <c r="AC53" t="str">
        <f ca="1" t="shared" si="45"/>
        <v> </v>
      </c>
      <c r="AD53" t="str">
        <f ca="1" t="shared" si="46"/>
        <v> </v>
      </c>
      <c r="AE53" t="str">
        <f ca="1" t="shared" si="46"/>
        <v> </v>
      </c>
      <c r="AF53" t="str">
        <f ca="1" t="shared" si="46"/>
        <v> </v>
      </c>
      <c r="AG53" t="str">
        <f ca="1" t="shared" si="46"/>
        <v> </v>
      </c>
      <c r="AH53" t="str">
        <f ca="1" t="shared" si="46"/>
        <v> </v>
      </c>
      <c r="AI53" t="str">
        <f ca="1" t="shared" si="46"/>
        <v> </v>
      </c>
      <c r="AJ53" t="str">
        <f ca="1" t="shared" si="46"/>
        <v> </v>
      </c>
      <c r="AK53" t="str">
        <f ca="1" t="shared" si="46"/>
        <v> </v>
      </c>
      <c r="AL53" t="str">
        <f ca="1" t="shared" si="46"/>
        <v> </v>
      </c>
      <c r="AM53" t="str">
        <f ca="1" t="shared" si="46"/>
        <v> </v>
      </c>
      <c r="AN53" t="str">
        <f ca="1" t="shared" si="46"/>
        <v> </v>
      </c>
      <c r="AO53" t="str">
        <f ca="1" t="shared" si="46"/>
        <v> </v>
      </c>
      <c r="AP53" t="str">
        <f ca="1" t="shared" si="46"/>
        <v> </v>
      </c>
    </row>
    <row r="54" spans="28:42" ht="12.75">
      <c r="AB54">
        <v>36</v>
      </c>
      <c r="AC54" t="str">
        <f ca="1" t="shared" si="45"/>
        <v> </v>
      </c>
      <c r="AD54" t="str">
        <f ca="1" t="shared" si="46"/>
        <v> </v>
      </c>
      <c r="AE54" t="str">
        <f ca="1" t="shared" si="46"/>
        <v> </v>
      </c>
      <c r="AF54" t="str">
        <f ca="1" t="shared" si="46"/>
        <v> </v>
      </c>
      <c r="AG54" t="str">
        <f ca="1" t="shared" si="46"/>
        <v> </v>
      </c>
      <c r="AH54" t="str">
        <f ca="1" t="shared" si="46"/>
        <v> </v>
      </c>
      <c r="AI54" t="str">
        <f ca="1" t="shared" si="46"/>
        <v> </v>
      </c>
      <c r="AJ54" t="str">
        <f ca="1" t="shared" si="46"/>
        <v> </v>
      </c>
      <c r="AK54" t="str">
        <f ca="1" t="shared" si="46"/>
        <v> </v>
      </c>
      <c r="AL54" t="str">
        <f ca="1" t="shared" si="46"/>
        <v> </v>
      </c>
      <c r="AM54" t="str">
        <f ca="1" t="shared" si="46"/>
        <v> </v>
      </c>
      <c r="AN54" t="str">
        <f ca="1" t="shared" si="46"/>
        <v> </v>
      </c>
      <c r="AO54" t="str">
        <f ca="1" t="shared" si="46"/>
        <v> </v>
      </c>
      <c r="AP54" t="str">
        <f ca="1" t="shared" si="46"/>
        <v> </v>
      </c>
    </row>
    <row r="55" spans="28:42" ht="12.75">
      <c r="AB55">
        <v>37</v>
      </c>
      <c r="AC55" t="str">
        <f ca="1" t="shared" si="45"/>
        <v> </v>
      </c>
      <c r="AD55" t="str">
        <f ca="1" t="shared" si="46"/>
        <v> </v>
      </c>
      <c r="AE55" t="str">
        <f ca="1" t="shared" si="46"/>
        <v> </v>
      </c>
      <c r="AF55" t="str">
        <f ca="1" t="shared" si="46"/>
        <v> </v>
      </c>
      <c r="AG55" t="str">
        <f ca="1" t="shared" si="46"/>
        <v> </v>
      </c>
      <c r="AH55" t="str">
        <f ca="1" t="shared" si="46"/>
        <v> </v>
      </c>
      <c r="AI55" t="str">
        <f ca="1" t="shared" si="46"/>
        <v> </v>
      </c>
      <c r="AJ55" t="str">
        <f ca="1" t="shared" si="46"/>
        <v> </v>
      </c>
      <c r="AK55" t="str">
        <f ca="1" t="shared" si="46"/>
        <v> </v>
      </c>
      <c r="AL55" t="str">
        <f ca="1" t="shared" si="46"/>
        <v> </v>
      </c>
      <c r="AM55" t="str">
        <f ca="1" t="shared" si="46"/>
        <v> </v>
      </c>
      <c r="AN55" t="str">
        <f ca="1" t="shared" si="46"/>
        <v> </v>
      </c>
      <c r="AO55" t="str">
        <f ca="1" t="shared" si="46"/>
        <v> </v>
      </c>
      <c r="AP55" t="str">
        <f ca="1" t="shared" si="46"/>
        <v> </v>
      </c>
    </row>
    <row r="56" spans="28:42" ht="12.75">
      <c r="AB56">
        <v>38</v>
      </c>
      <c r="AC56" t="str">
        <f ca="1" t="shared" si="45"/>
        <v> </v>
      </c>
      <c r="AD56" t="str">
        <f ca="1" t="shared" si="46"/>
        <v> </v>
      </c>
      <c r="AE56" t="str">
        <f ca="1" t="shared" si="46"/>
        <v> </v>
      </c>
      <c r="AF56" t="str">
        <f ca="1" t="shared" si="46"/>
        <v> </v>
      </c>
      <c r="AG56" t="str">
        <f ca="1" t="shared" si="46"/>
        <v> </v>
      </c>
      <c r="AH56" t="str">
        <f ca="1" t="shared" si="46"/>
        <v> </v>
      </c>
      <c r="AI56" t="str">
        <f ca="1" t="shared" si="46"/>
        <v> </v>
      </c>
      <c r="AJ56" t="str">
        <f ca="1" t="shared" si="46"/>
        <v> </v>
      </c>
      <c r="AK56" t="str">
        <f ca="1" t="shared" si="46"/>
        <v> </v>
      </c>
      <c r="AL56" t="str">
        <f ca="1" t="shared" si="46"/>
        <v> </v>
      </c>
      <c r="AM56" t="str">
        <f ca="1" t="shared" si="46"/>
        <v> </v>
      </c>
      <c r="AN56" t="str">
        <f ca="1" t="shared" si="46"/>
        <v> </v>
      </c>
      <c r="AO56" t="str">
        <f ca="1" t="shared" si="46"/>
        <v> </v>
      </c>
      <c r="AP56" t="str">
        <f ca="1" t="shared" si="46"/>
        <v> </v>
      </c>
    </row>
  </sheetData>
  <conditionalFormatting sqref="C38 R38:T38 C18 R18:T18">
    <cfRule type="expression" priority="1" dxfId="0" stopIfTrue="1">
      <formula>$C$38="spielfrei"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K37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2" width="10.7109375" style="0" hidden="1" customWidth="1"/>
    <col min="13" max="14" width="11.421875" style="0" hidden="1" customWidth="1"/>
    <col min="15" max="16" width="3.7109375" style="0" hidden="1" customWidth="1"/>
    <col min="17" max="19" width="11.421875" style="0" hidden="1" customWidth="1"/>
    <col min="20" max="20" width="5.7109375" style="1" hidden="1" customWidth="1"/>
    <col min="21" max="26" width="11.421875" style="0" hidden="1" customWidth="1"/>
    <col min="27" max="27" width="17.57421875" style="0" hidden="1" customWidth="1"/>
    <col min="28" max="29" width="6.7109375" style="1" hidden="1" customWidth="1"/>
    <col min="30" max="81" width="8.7109375" style="0" hidden="1" customWidth="1"/>
    <col min="82" max="90" width="11.421875" style="0" hidden="1" customWidth="1"/>
  </cols>
  <sheetData>
    <row r="1" spans="2:89" ht="24.75" customHeight="1">
      <c r="B1" s="81" t="str">
        <f>Eingabe!$G$3</f>
        <v>z. B. Monatsblitzturnier</v>
      </c>
      <c r="C1" s="12"/>
      <c r="D1" s="12"/>
      <c r="E1" s="12"/>
      <c r="F1" s="12"/>
      <c r="AD1" s="140"/>
      <c r="AQ1" s="140"/>
      <c r="BD1" s="140"/>
      <c r="BQ1" s="140"/>
      <c r="CD1" s="141" t="s">
        <v>53</v>
      </c>
      <c r="CE1" s="142" t="s">
        <v>54</v>
      </c>
      <c r="CF1" s="142" t="s">
        <v>55</v>
      </c>
      <c r="CG1" s="142" t="s">
        <v>56</v>
      </c>
      <c r="CH1" s="142" t="s">
        <v>57</v>
      </c>
      <c r="CI1" s="142" t="s">
        <v>58</v>
      </c>
      <c r="CJ1" s="91" t="s">
        <v>59</v>
      </c>
      <c r="CK1" s="164"/>
    </row>
    <row r="2" spans="2:89" ht="19.5" customHeight="1" thickBot="1">
      <c r="B2" s="34"/>
      <c r="C2" s="34"/>
      <c r="D2" s="49"/>
      <c r="E2" s="49" t="s">
        <v>16</v>
      </c>
      <c r="F2" s="35" t="str">
        <f>Eingabe!G2</f>
        <v>??.??.????</v>
      </c>
      <c r="I2" s="2"/>
      <c r="J2" s="2"/>
      <c r="K2" s="2"/>
      <c r="L2" s="2"/>
      <c r="M2" s="2"/>
      <c r="AD2" s="183" t="s">
        <v>60</v>
      </c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  <c r="AQ2" s="183" t="s">
        <v>61</v>
      </c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5"/>
      <c r="BD2" s="183" t="s">
        <v>62</v>
      </c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3" t="s">
        <v>63</v>
      </c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5"/>
      <c r="CD2" s="144" t="s">
        <v>64</v>
      </c>
      <c r="CE2" s="145" t="s">
        <v>65</v>
      </c>
      <c r="CF2" s="146" t="s">
        <v>66</v>
      </c>
      <c r="CG2" s="146" t="s">
        <v>67</v>
      </c>
      <c r="CH2" s="146" t="s">
        <v>68</v>
      </c>
      <c r="CI2" s="146" t="s">
        <v>69</v>
      </c>
      <c r="CJ2" s="146" t="s">
        <v>70</v>
      </c>
      <c r="CK2" s="165" t="s">
        <v>71</v>
      </c>
    </row>
    <row r="3" spans="2:89" ht="19.5" customHeight="1">
      <c r="B3" s="36"/>
      <c r="C3" s="82" t="s">
        <v>36</v>
      </c>
      <c r="D3" s="38"/>
      <c r="E3" s="38"/>
      <c r="F3" s="39"/>
      <c r="I3" s="36"/>
      <c r="J3" s="37"/>
      <c r="K3" s="38"/>
      <c r="L3" s="38"/>
      <c r="M3" s="39"/>
      <c r="O3" s="1"/>
      <c r="P3" s="1"/>
      <c r="AA3" s="147" t="s">
        <v>50</v>
      </c>
      <c r="AB3" s="148" t="s">
        <v>52</v>
      </c>
      <c r="AC3" s="148" t="s">
        <v>51</v>
      </c>
      <c r="AD3" s="149" t="s">
        <v>17</v>
      </c>
      <c r="AE3" s="3" t="s">
        <v>18</v>
      </c>
      <c r="AF3" s="3" t="s">
        <v>19</v>
      </c>
      <c r="AG3" s="3" t="s">
        <v>20</v>
      </c>
      <c r="AH3" s="3" t="s">
        <v>22</v>
      </c>
      <c r="AI3" s="3" t="s">
        <v>23</v>
      </c>
      <c r="AJ3" s="3" t="s">
        <v>24</v>
      </c>
      <c r="AK3" s="3" t="s">
        <v>25</v>
      </c>
      <c r="AL3" s="3" t="s">
        <v>26</v>
      </c>
      <c r="AM3" s="3" t="s">
        <v>27</v>
      </c>
      <c r="AN3" s="3" t="s">
        <v>28</v>
      </c>
      <c r="AO3" s="3" t="s">
        <v>29</v>
      </c>
      <c r="AP3" s="3" t="s">
        <v>30</v>
      </c>
      <c r="AQ3" s="149" t="s">
        <v>17</v>
      </c>
      <c r="AR3" s="3" t="s">
        <v>18</v>
      </c>
      <c r="AS3" s="3" t="s">
        <v>19</v>
      </c>
      <c r="AT3" s="3" t="s">
        <v>20</v>
      </c>
      <c r="AU3" s="3" t="s">
        <v>22</v>
      </c>
      <c r="AV3" s="3" t="s">
        <v>23</v>
      </c>
      <c r="AW3" s="3" t="s">
        <v>24</v>
      </c>
      <c r="AX3" s="3" t="s">
        <v>25</v>
      </c>
      <c r="AY3" s="3" t="s">
        <v>26</v>
      </c>
      <c r="AZ3" s="3" t="s">
        <v>27</v>
      </c>
      <c r="BA3" s="3" t="s">
        <v>28</v>
      </c>
      <c r="BB3" s="3" t="s">
        <v>29</v>
      </c>
      <c r="BC3" s="3" t="s">
        <v>30</v>
      </c>
      <c r="BD3" s="149" t="s">
        <v>17</v>
      </c>
      <c r="BE3" s="3" t="s">
        <v>18</v>
      </c>
      <c r="BF3" s="3" t="s">
        <v>19</v>
      </c>
      <c r="BG3" s="3" t="s">
        <v>20</v>
      </c>
      <c r="BH3" s="3" t="s">
        <v>22</v>
      </c>
      <c r="BI3" s="3" t="s">
        <v>23</v>
      </c>
      <c r="BJ3" s="3" t="s">
        <v>24</v>
      </c>
      <c r="BK3" s="3" t="s">
        <v>25</v>
      </c>
      <c r="BL3" s="3" t="s">
        <v>26</v>
      </c>
      <c r="BM3" s="3" t="s">
        <v>27</v>
      </c>
      <c r="BN3" s="3" t="s">
        <v>28</v>
      </c>
      <c r="BO3" s="3" t="s">
        <v>29</v>
      </c>
      <c r="BP3" s="3" t="s">
        <v>30</v>
      </c>
      <c r="BQ3" s="149" t="s">
        <v>17</v>
      </c>
      <c r="BR3" s="3" t="s">
        <v>18</v>
      </c>
      <c r="BS3" s="3" t="s">
        <v>19</v>
      </c>
      <c r="BT3" s="3" t="s">
        <v>20</v>
      </c>
      <c r="BU3" s="3" t="s">
        <v>22</v>
      </c>
      <c r="BV3" s="3" t="s">
        <v>23</v>
      </c>
      <c r="BW3" s="3" t="s">
        <v>24</v>
      </c>
      <c r="BX3" s="3" t="s">
        <v>25</v>
      </c>
      <c r="BY3" s="3" t="s">
        <v>26</v>
      </c>
      <c r="BZ3" s="3" t="s">
        <v>27</v>
      </c>
      <c r="CA3" s="3" t="s">
        <v>28</v>
      </c>
      <c r="CB3" s="3" t="s">
        <v>29</v>
      </c>
      <c r="CC3" s="3" t="s">
        <v>30</v>
      </c>
      <c r="CD3" s="140"/>
      <c r="CK3" s="166"/>
    </row>
    <row r="4" spans="2:89" ht="19.5" customHeight="1">
      <c r="B4" s="40"/>
      <c r="C4" s="83" t="str">
        <f>J4</f>
        <v>Stand nach der 0. Runde</v>
      </c>
      <c r="D4" s="41"/>
      <c r="E4" s="54" t="s">
        <v>34</v>
      </c>
      <c r="F4" s="51" t="s">
        <v>33</v>
      </c>
      <c r="I4" s="40"/>
      <c r="J4" s="84" t="str">
        <f>IF(EXACT("spielfrei",Eingabe!G9)=TRUE,Q4,R4)</f>
        <v>Stand nach der 0. Runde</v>
      </c>
      <c r="K4" s="41"/>
      <c r="L4" s="54" t="s">
        <v>34</v>
      </c>
      <c r="M4" s="51" t="s">
        <v>33</v>
      </c>
      <c r="O4" s="28">
        <f>IF(SUM(K5:K17)=156,1,0)</f>
        <v>0</v>
      </c>
      <c r="P4" s="28"/>
      <c r="Q4" s="85" t="str">
        <f>IF((SUM(K5:K17))/12=MAX(K5:K17)+O4,"Stand nach der "&amp;(MAX(K5:K17)+O4)&amp;". Runde","")</f>
        <v>Stand nach der 0. Runde</v>
      </c>
      <c r="R4" s="85" t="str">
        <f>IF((SUM(K5:K18))/14=MAX(K5:K18),"Stand nach der "&amp;MAX(K5:K18)&amp;". Runde","")</f>
        <v>Stand nach der 0. Runde</v>
      </c>
      <c r="AA4" t="str">
        <f>Eingabe!C6</f>
        <v>Spieler 1</v>
      </c>
      <c r="AB4" s="1">
        <f>IF(Eingabe!E6=" ",0,Eingabe!E6)</f>
        <v>0</v>
      </c>
      <c r="AC4" s="1">
        <f>IF(Eingabe!D6=5,5,IF(Eingabe!D6=10,10,15))</f>
        <v>15</v>
      </c>
      <c r="AD4" s="149">
        <f>$AB$17</f>
        <v>0</v>
      </c>
      <c r="AE4" s="3">
        <f>$AB$15</f>
        <v>0</v>
      </c>
      <c r="AF4" s="3">
        <f>$AB$13</f>
        <v>0</v>
      </c>
      <c r="AG4" s="3">
        <f>$AB$11</f>
        <v>0</v>
      </c>
      <c r="AH4" s="3">
        <f>$AB$9</f>
        <v>0</v>
      </c>
      <c r="AI4" s="3">
        <f>$AB$7</f>
        <v>0</v>
      </c>
      <c r="AJ4" s="3">
        <f>$AB$5</f>
        <v>0</v>
      </c>
      <c r="AK4" s="3">
        <f>$AB$16</f>
        <v>0</v>
      </c>
      <c r="AL4" s="3">
        <f>$AB$14</f>
        <v>0</v>
      </c>
      <c r="AM4" s="3">
        <f>$AB$12</f>
        <v>0</v>
      </c>
      <c r="AN4" s="3">
        <f>$AB$10</f>
        <v>0</v>
      </c>
      <c r="AO4" s="3">
        <f>$AB$8</f>
        <v>0</v>
      </c>
      <c r="AP4" s="3">
        <f>$AB$6</f>
        <v>0</v>
      </c>
      <c r="AQ4" s="149" t="str">
        <f>'14 Spieler'!$G$12</f>
        <v> </v>
      </c>
      <c r="AR4" s="3" t="str">
        <f>'14 Spieler'!$Q$13</f>
        <v> </v>
      </c>
      <c r="AS4" s="3" t="str">
        <f>'14 Spieler'!$Y$14</f>
        <v> </v>
      </c>
      <c r="AT4" s="3" t="str">
        <f>'14 Spieler'!$AG15</f>
        <v> </v>
      </c>
      <c r="AU4" s="3" t="str">
        <f>'14 Spieler'!$I$27</f>
        <v> </v>
      </c>
      <c r="AV4" s="3" t="str">
        <f>'14 Spieler'!$Q$28</f>
        <v> </v>
      </c>
      <c r="AW4" s="3" t="str">
        <f>'14 Spieler'!$Y$29</f>
        <v> </v>
      </c>
      <c r="AX4" s="3" t="str">
        <f>'14 Spieler'!$AE$29</f>
        <v> </v>
      </c>
      <c r="AY4" s="3" t="str">
        <f>'14 Spieler'!$G$39</f>
        <v> </v>
      </c>
      <c r="AZ4" s="3" t="str">
        <f>'14 Spieler'!$O$38</f>
        <v> </v>
      </c>
      <c r="BA4" s="3" t="str">
        <f>'14 Spieler'!$W$37</f>
        <v> </v>
      </c>
      <c r="BB4" s="3" t="str">
        <f>'14 Spieler'!$AE$36</f>
        <v> </v>
      </c>
      <c r="BC4" s="3" t="str">
        <f>'14 Spieler'!$G$46</f>
        <v> </v>
      </c>
      <c r="BD4" s="149" t="str">
        <f>IF(AD4=0," ",AQ4)</f>
        <v> </v>
      </c>
      <c r="BE4" s="3" t="str">
        <f aca="true" t="shared" si="0" ref="BE4:BE17">IF(AE4=0," ",AR4)</f>
        <v> </v>
      </c>
      <c r="BF4" s="3" t="str">
        <f aca="true" t="shared" si="1" ref="BF4:BF17">IF(AF4=0," ",AS4)</f>
        <v> </v>
      </c>
      <c r="BG4" s="3" t="str">
        <f aca="true" t="shared" si="2" ref="BG4:BG17">IF(AG4=0," ",AT4)</f>
        <v> </v>
      </c>
      <c r="BH4" s="3" t="str">
        <f aca="true" t="shared" si="3" ref="BH4:BH17">IF(AH4=0," ",AU4)</f>
        <v> </v>
      </c>
      <c r="BI4" s="3" t="str">
        <f aca="true" t="shared" si="4" ref="BI4:BI17">IF(AI4=0," ",AV4)</f>
        <v> </v>
      </c>
      <c r="BJ4" s="3" t="str">
        <f aca="true" t="shared" si="5" ref="BJ4:BJ17">IF(AJ4=0," ",AW4)</f>
        <v> </v>
      </c>
      <c r="BK4" s="3" t="str">
        <f aca="true" t="shared" si="6" ref="BK4:BK17">IF(AK4=0," ",AX4)</f>
        <v> </v>
      </c>
      <c r="BL4" s="3" t="str">
        <f aca="true" t="shared" si="7" ref="BL4:BL17">IF(AL4=0," ",AY4)</f>
        <v> </v>
      </c>
      <c r="BM4" s="3" t="str">
        <f aca="true" t="shared" si="8" ref="BM4:BM17">IF(AM4=0," ",AZ4)</f>
        <v> </v>
      </c>
      <c r="BN4" s="3" t="str">
        <f aca="true" t="shared" si="9" ref="BN4:BN17">IF(AN4=0," ",BA4)</f>
        <v> </v>
      </c>
      <c r="BO4" s="3" t="str">
        <f aca="true" t="shared" si="10" ref="BO4:BO17">IF(AO4=0," ",BB4)</f>
        <v> </v>
      </c>
      <c r="BP4" s="3" t="str">
        <f aca="true" t="shared" si="11" ref="BP4:BP17">IF(AP4=0," ",BC4)</f>
        <v> </v>
      </c>
      <c r="BQ4" s="150">
        <f>IF(BD4=" ",0,ROUND(1/(1+(POWER(10,(-1*($AB4-AD4)/400)))),3))</f>
        <v>0</v>
      </c>
      <c r="BR4" s="151">
        <f aca="true" t="shared" si="12" ref="BR4:CC15">IF(BE4=" ",0,ROUND(1/(1+(POWER(10,(-1*($AB4-AE4)/400)))),3))</f>
        <v>0</v>
      </c>
      <c r="BS4" s="151">
        <f t="shared" si="12"/>
        <v>0</v>
      </c>
      <c r="BT4" s="151">
        <f t="shared" si="12"/>
        <v>0</v>
      </c>
      <c r="BU4" s="151">
        <f t="shared" si="12"/>
        <v>0</v>
      </c>
      <c r="BV4" s="151">
        <f t="shared" si="12"/>
        <v>0</v>
      </c>
      <c r="BW4" s="151">
        <f t="shared" si="12"/>
        <v>0</v>
      </c>
      <c r="BX4" s="151">
        <f t="shared" si="12"/>
        <v>0</v>
      </c>
      <c r="BY4" s="151">
        <f t="shared" si="12"/>
        <v>0</v>
      </c>
      <c r="BZ4" s="151">
        <f t="shared" si="12"/>
        <v>0</v>
      </c>
      <c r="CA4" s="151">
        <f t="shared" si="12"/>
        <v>0</v>
      </c>
      <c r="CB4" s="151">
        <f t="shared" si="12"/>
        <v>0</v>
      </c>
      <c r="CC4" s="151">
        <f t="shared" si="12"/>
        <v>0</v>
      </c>
      <c r="CD4" s="152">
        <f>SUM(BQ4:CC4)</f>
        <v>0</v>
      </c>
      <c r="CE4" s="1">
        <f>1*((COUNTIF(BD4:BP4,0))+(COUNTIF(BD4:BP4,0.5))+(COUNTIF(BD4:BP4,1)))</f>
        <v>0</v>
      </c>
      <c r="CF4" s="143">
        <f>POWER((AB4/1000),4)+AC4</f>
        <v>15</v>
      </c>
      <c r="CG4" s="143">
        <f>IF(AI4=5,IF(CJ4&gt;=CD4,AH4/2000,1),1)</f>
        <v>1</v>
      </c>
      <c r="CH4" s="143">
        <f>IF(CJ4&gt;=CD4,0,IF((IF(AI4=5,IF(AH4&lt;1300,(POWER(2.71828,(1300-AH4)/150))-1,0),0))&gt;150,150,IF(AI4=5,IF(AH4&lt;1300,(POWER(2.71828,(1300-AH4)/150))-1,0),0)))</f>
        <v>0</v>
      </c>
      <c r="CI4" s="143">
        <f>IF(CH4&gt;0,IF((ROUND((CF4*CG4)+CH4,0))&lt;5,5,(ROUND((CF4*CG4)+CH4,0))),IF(IF((ROUND((CF4*CG4)+CH4,0))&lt;5,5,(ROUND((CF4*CG4)+CH4,0)))&gt;30,30,IF((ROUND((CF4*CG4)+CH4,0))&lt;5,5,(ROUND((CF4*CG4)+CH4,0)))))</f>
        <v>15</v>
      </c>
      <c r="CJ4" s="1">
        <f>SUM(BD4:BP4)</f>
        <v>0</v>
      </c>
      <c r="CK4" s="5">
        <f>IF(AB4=0,0,IF(CE4=0,AB4,ROUND(AB4+800*(CJ4-CD4)/(CI4+CE4),0)))</f>
        <v>0</v>
      </c>
    </row>
    <row r="5" spans="2:89" ht="19.5" customHeight="1">
      <c r="B5" s="42" t="str">
        <f>IF(D5=0," ","1.")</f>
        <v> </v>
      </c>
      <c r="C5" s="43" t="str">
        <f>VLOOKUP($T5,$I$5:$M$18,2,FALSE)</f>
        <v>Spieler 1</v>
      </c>
      <c r="D5" s="44">
        <f>VLOOKUP($T5,$I$5:$M$18,3,FALSE)</f>
        <v>0</v>
      </c>
      <c r="E5" s="55">
        <f>VLOOKUP($T5,$I$5:$M$18,4,FALSE)</f>
      </c>
      <c r="F5" s="59" t="str">
        <f>VLOOKUP($T5,$I$5:$M$18,5,FALSE)</f>
        <v> </v>
      </c>
      <c r="I5" s="42">
        <f>RANK(N5,$N$5:$N$18,0)</f>
        <v>1</v>
      </c>
      <c r="J5" s="43" t="str">
        <f>'Kreuztabelle 14'!C25</f>
        <v>Spieler 1</v>
      </c>
      <c r="K5" s="44">
        <f>IF(COUNT('Kreuztabelle 14'!D25:'Kreuztabelle 14'!Q25)&gt;0,COUNT('Kreuztabelle 14'!D25:'Kreuztabelle 14'!Q25),0)</f>
        <v>0</v>
      </c>
      <c r="L5" s="55">
        <f>'Kreuztabelle 14'!S25</f>
      </c>
      <c r="M5" s="59" t="str">
        <f>'Kreuztabelle 14'!R25</f>
        <v> </v>
      </c>
      <c r="N5">
        <f>IF(M5=" ",0.14,M5*100000+L5*1000-K5+0.14)</f>
        <v>0.14</v>
      </c>
      <c r="O5" s="62">
        <f aca="true" t="shared" si="13" ref="O5:O18">COUNTIF($P$5:$P$18,P5)</f>
        <v>14</v>
      </c>
      <c r="P5" s="62" t="e">
        <f>IF((D5+E5+F5)=0," ",1)</f>
        <v>#VALUE!</v>
      </c>
      <c r="Q5" s="61" t="e">
        <f>IF(O5=1,P5&amp;".",P5&amp;".- "&amp;(P5+O5-1)&amp;".")</f>
        <v>#VALUE!</v>
      </c>
      <c r="R5" s="61" t="str">
        <f aca="true" t="shared" si="14" ref="R5:R18">IF(SUM($D$5:$D$14)=0," ",Q5)</f>
        <v> </v>
      </c>
      <c r="T5" s="1">
        <v>1</v>
      </c>
      <c r="AA5" t="str">
        <f>Eingabe!C7</f>
        <v>Spieler 2</v>
      </c>
      <c r="AB5" s="1">
        <f>IF(Eingabe!E7=" ",0,Eingabe!E7)</f>
        <v>0</v>
      </c>
      <c r="AC5" s="1">
        <f>IF(Eingabe!D7=5,5,IF(Eingabe!D7=10,10,15))</f>
        <v>15</v>
      </c>
      <c r="AD5" s="149">
        <f>$AB$16</f>
        <v>0</v>
      </c>
      <c r="AE5" s="3">
        <f>$AB$14</f>
        <v>0</v>
      </c>
      <c r="AF5" s="3">
        <f>$AB$12</f>
        <v>0</v>
      </c>
      <c r="AG5" s="3">
        <f>$AB$10</f>
        <v>0</v>
      </c>
      <c r="AH5" s="3">
        <f>$AB$8</f>
        <v>0</v>
      </c>
      <c r="AI5" s="3">
        <f>$AB$6</f>
        <v>0</v>
      </c>
      <c r="AJ5" s="3">
        <f>$AB$4</f>
        <v>0</v>
      </c>
      <c r="AK5" s="3">
        <f>$AB$15</f>
        <v>0</v>
      </c>
      <c r="AL5" s="3">
        <f>$AB$13</f>
        <v>0</v>
      </c>
      <c r="AM5" s="3">
        <f>$AB$11</f>
        <v>0</v>
      </c>
      <c r="AN5" s="3">
        <f>$AB$9</f>
        <v>0</v>
      </c>
      <c r="AO5" s="3">
        <f>$AB$7</f>
        <v>0</v>
      </c>
      <c r="AP5" s="3">
        <f>$AB$17</f>
        <v>0</v>
      </c>
      <c r="AQ5" s="149" t="str">
        <f>'14 Spieler'!$I$13</f>
        <v> </v>
      </c>
      <c r="AR5" s="3" t="str">
        <f>'14 Spieler'!$Q$14</f>
        <v> </v>
      </c>
      <c r="AS5" s="3" t="str">
        <f>'14 Spieler'!$Y$15</f>
        <v> </v>
      </c>
      <c r="AT5" s="3" t="str">
        <f>'14 Spieler'!$AG$16</f>
        <v> </v>
      </c>
      <c r="AU5" s="3" t="str">
        <f>'14 Spieler'!$I$28</f>
        <v> </v>
      </c>
      <c r="AV5" s="3" t="str">
        <f>'14 Spieler'!$Q$29</f>
        <v> </v>
      </c>
      <c r="AW5" s="3" t="str">
        <f>'14 Spieler'!$W$29</f>
        <v> </v>
      </c>
      <c r="AX5" s="3" t="str">
        <f>'14 Spieler'!$AE$28</f>
        <v> </v>
      </c>
      <c r="AY5" s="3" t="str">
        <f>'14 Spieler'!$G$38</f>
        <v> </v>
      </c>
      <c r="AZ5" s="3" t="str">
        <f>'14 Spieler'!$O$37</f>
        <v> </v>
      </c>
      <c r="BA5" s="3" t="str">
        <f>'14 Spieler'!$W$36</f>
        <v> </v>
      </c>
      <c r="BB5" s="3" t="str">
        <f>'14 Spieler'!$AE$35</f>
        <v> </v>
      </c>
      <c r="BC5" s="3" t="str">
        <f>'14 Spieler'!$G$45</f>
        <v> </v>
      </c>
      <c r="BD5" s="149" t="str">
        <f aca="true" t="shared" si="15" ref="BD5:BD17">IF(AD5=0," ",AQ5)</f>
        <v> </v>
      </c>
      <c r="BE5" s="3" t="str">
        <f t="shared" si="0"/>
        <v> </v>
      </c>
      <c r="BF5" s="3" t="str">
        <f t="shared" si="1"/>
        <v> </v>
      </c>
      <c r="BG5" s="3" t="str">
        <f t="shared" si="2"/>
        <v> </v>
      </c>
      <c r="BH5" s="3" t="str">
        <f t="shared" si="3"/>
        <v> </v>
      </c>
      <c r="BI5" s="3" t="str">
        <f t="shared" si="4"/>
        <v> </v>
      </c>
      <c r="BJ5" s="3" t="str">
        <f t="shared" si="5"/>
        <v> </v>
      </c>
      <c r="BK5" s="3" t="str">
        <f t="shared" si="6"/>
        <v> </v>
      </c>
      <c r="BL5" s="3" t="str">
        <f t="shared" si="7"/>
        <v> </v>
      </c>
      <c r="BM5" s="3" t="str">
        <f t="shared" si="8"/>
        <v> </v>
      </c>
      <c r="BN5" s="3" t="str">
        <f t="shared" si="9"/>
        <v> </v>
      </c>
      <c r="BO5" s="3" t="str">
        <f t="shared" si="10"/>
        <v> </v>
      </c>
      <c r="BP5" s="3" t="str">
        <f t="shared" si="11"/>
        <v> </v>
      </c>
      <c r="BQ5" s="150">
        <f aca="true" t="shared" si="16" ref="BQ5:BQ15">IF(BD5=" ",0,ROUND(1/(1+(POWER(10,(-1*($AB5-AD5)/400)))),3))</f>
        <v>0</v>
      </c>
      <c r="BR5" s="151">
        <f t="shared" si="12"/>
        <v>0</v>
      </c>
      <c r="BS5" s="151">
        <f t="shared" si="12"/>
        <v>0</v>
      </c>
      <c r="BT5" s="151">
        <f t="shared" si="12"/>
        <v>0</v>
      </c>
      <c r="BU5" s="151">
        <f t="shared" si="12"/>
        <v>0</v>
      </c>
      <c r="BV5" s="151">
        <f t="shared" si="12"/>
        <v>0</v>
      </c>
      <c r="BW5" s="151">
        <f t="shared" si="12"/>
        <v>0</v>
      </c>
      <c r="BX5" s="151">
        <f t="shared" si="12"/>
        <v>0</v>
      </c>
      <c r="BY5" s="151">
        <f t="shared" si="12"/>
        <v>0</v>
      </c>
      <c r="BZ5" s="151">
        <f t="shared" si="12"/>
        <v>0</v>
      </c>
      <c r="CA5" s="151">
        <f t="shared" si="12"/>
        <v>0</v>
      </c>
      <c r="CB5" s="151">
        <f t="shared" si="12"/>
        <v>0</v>
      </c>
      <c r="CC5" s="151">
        <f t="shared" si="12"/>
        <v>0</v>
      </c>
      <c r="CD5" s="152">
        <f aca="true" t="shared" si="17" ref="CD5:CD15">SUM(BQ5:CC5)</f>
        <v>0</v>
      </c>
      <c r="CE5" s="1">
        <f aca="true" t="shared" si="18" ref="CE5:CE15">1*((COUNTIF(BD5:BP5,0))+(COUNTIF(BD5:BP5,0.5))+(COUNTIF(BD5:BP5,1)))</f>
        <v>0</v>
      </c>
      <c r="CF5" s="143">
        <f aca="true" t="shared" si="19" ref="CF5:CF13">POWER((AB5/1000),4)+AC5</f>
        <v>15</v>
      </c>
      <c r="CG5" s="143">
        <f aca="true" t="shared" si="20" ref="CG5:CG11">IF(AI5=5,IF(CJ5&gt;=CD5,AH5/2000,1),1)</f>
        <v>1</v>
      </c>
      <c r="CH5" s="143">
        <f aca="true" t="shared" si="21" ref="CH5:CH11">IF(CJ5&gt;=CD5,0,IF((IF(AI5=5,IF(AH5&lt;1300,(POWER(2.71828,(1300-AH5)/150))-1,0),0))&gt;150,150,IF(AI5=5,IF(AH5&lt;1300,(POWER(2.71828,(1300-AH5)/150))-1,0),0)))</f>
        <v>0</v>
      </c>
      <c r="CI5" s="143">
        <f aca="true" t="shared" si="22" ref="CI5:CI17">IF(CH5&gt;0,IF((ROUND((CF5*CG5)+CH5,0))&lt;5,5,(ROUND((CF5*CG5)+CH5,0))),IF(IF((ROUND((CF5*CG5)+CH5,0))&lt;5,5,(ROUND((CF5*CG5)+CH5,0)))&gt;30,30,IF((ROUND((CF5*CG5)+CH5,0))&lt;5,5,(ROUND((CF5*CG5)+CH5,0)))))</f>
        <v>15</v>
      </c>
      <c r="CJ5" s="1">
        <f aca="true" t="shared" si="23" ref="CJ5:CJ15">SUM(BD5:BP5)</f>
        <v>0</v>
      </c>
      <c r="CK5" s="5">
        <f aca="true" t="shared" si="24" ref="CK5:CK13">IF(AB5=0,0,IF(CE5=0,AB5,ROUND(AB5+800*(CJ5-CD5)/(CI5+CE5),0)))</f>
        <v>0</v>
      </c>
    </row>
    <row r="6" spans="2:89" ht="19.5" customHeight="1">
      <c r="B6" s="42">
        <f>IF(AND(D5=D6,E5=E6,F5=F6),"","2.")</f>
      </c>
      <c r="C6" s="43" t="str">
        <f aca="true" t="shared" si="25" ref="C6:C18">VLOOKUP($T6,$I$5:$M$18,2,FALSE)</f>
        <v>Spieler 2</v>
      </c>
      <c r="D6" s="44">
        <f aca="true" t="shared" si="26" ref="D6:D18">VLOOKUP($T6,$I$5:$M$18,3,FALSE)</f>
        <v>0</v>
      </c>
      <c r="E6" s="55">
        <f aca="true" t="shared" si="27" ref="E6:E18">VLOOKUP($T6,$I$5:$M$18,4,FALSE)</f>
      </c>
      <c r="F6" s="59" t="str">
        <f aca="true" t="shared" si="28" ref="F6:F18">VLOOKUP($T6,$I$5:$M$18,5,FALSE)</f>
        <v> </v>
      </c>
      <c r="I6" s="42">
        <f aca="true" t="shared" si="29" ref="I6:I18">RANK(N6,$N$5:$N$18,0)</f>
        <v>2</v>
      </c>
      <c r="J6" s="43" t="str">
        <f>'Kreuztabelle 14'!C26</f>
        <v>Spieler 2</v>
      </c>
      <c r="K6" s="44">
        <f>IF(COUNT('Kreuztabelle 14'!D26:'Kreuztabelle 14'!Q26)&gt;0,COUNT('Kreuztabelle 14'!D26:'Kreuztabelle 14'!Q26),0)</f>
        <v>0</v>
      </c>
      <c r="L6" s="55">
        <f>'Kreuztabelle 14'!S26</f>
      </c>
      <c r="M6" s="59" t="str">
        <f>'Kreuztabelle 14'!R26</f>
        <v> </v>
      </c>
      <c r="N6">
        <f>IF(M6=" ",0.13,M6*100000+L6*1000-K6+0.13)</f>
        <v>0.13</v>
      </c>
      <c r="O6" s="62">
        <f t="shared" si="13"/>
        <v>14</v>
      </c>
      <c r="P6" s="62" t="e">
        <f>IF(AND(D5=D6,E5=E6,F5=F6),P5,2)</f>
        <v>#VALUE!</v>
      </c>
      <c r="Q6" s="61" t="e">
        <f aca="true" t="shared" si="30" ref="Q6:Q18">IF(O6=1,P6&amp;".",P6&amp;".- "&amp;(P6+O6-1)&amp;".")</f>
        <v>#VALUE!</v>
      </c>
      <c r="R6" s="61" t="str">
        <f t="shared" si="14"/>
        <v> </v>
      </c>
      <c r="T6" s="1">
        <v>2</v>
      </c>
      <c r="AA6" t="str">
        <f>Eingabe!C8</f>
        <v>Spieler 3</v>
      </c>
      <c r="AB6" s="1">
        <f>IF(Eingabe!E8=" ",0,Eingabe!E8)</f>
        <v>0</v>
      </c>
      <c r="AC6" s="1">
        <f>IF(Eingabe!D8=5,5,IF(Eingabe!D8=10,10,15))</f>
        <v>15</v>
      </c>
      <c r="AD6" s="149">
        <f>$AB$15</f>
        <v>0</v>
      </c>
      <c r="AE6" s="3">
        <f>$AB$13</f>
        <v>0</v>
      </c>
      <c r="AF6" s="3">
        <f>$AB$11</f>
        <v>0</v>
      </c>
      <c r="AG6" s="3">
        <f>$AB$9</f>
        <v>0</v>
      </c>
      <c r="AH6" s="3">
        <f>$AB$7</f>
        <v>0</v>
      </c>
      <c r="AI6" s="3">
        <f>$AB$5</f>
        <v>0</v>
      </c>
      <c r="AJ6" s="3">
        <f>$AB$16</f>
        <v>0</v>
      </c>
      <c r="AK6" s="3">
        <f>$AB$14</f>
        <v>0</v>
      </c>
      <c r="AL6" s="3">
        <f>$AB$12</f>
        <v>0</v>
      </c>
      <c r="AM6" s="3">
        <f>$AB$10</f>
        <v>0</v>
      </c>
      <c r="AN6" s="3">
        <f>$AB$8</f>
        <v>0</v>
      </c>
      <c r="AO6" s="3">
        <f>$AB$17</f>
        <v>0</v>
      </c>
      <c r="AP6" s="3">
        <f>$AB$4</f>
        <v>0</v>
      </c>
      <c r="AQ6" s="149" t="str">
        <f>'14 Spieler'!$I$14</f>
        <v> </v>
      </c>
      <c r="AR6" s="3" t="str">
        <f>'14 Spieler'!$Q$15</f>
        <v> </v>
      </c>
      <c r="AS6" s="3" t="str">
        <f>'14 Spieler'!$Y$16</f>
        <v> </v>
      </c>
      <c r="AT6" s="3" t="str">
        <f>'14 Spieler'!$AG$17</f>
        <v> </v>
      </c>
      <c r="AU6" s="3" t="str">
        <f>'14 Spieler'!$I$29</f>
        <v> </v>
      </c>
      <c r="AV6" s="3" t="str">
        <f>'14 Spieler'!$O$29</f>
        <v> </v>
      </c>
      <c r="AW6" s="3" t="str">
        <f>'14 Spieler'!$W$28</f>
        <v> </v>
      </c>
      <c r="AX6" s="3" t="str">
        <f>'14 Spieler'!$AE$27</f>
        <v> </v>
      </c>
      <c r="AY6" s="3" t="str">
        <f>'14 Spieler'!$G$37</f>
        <v> </v>
      </c>
      <c r="AZ6" s="3" t="str">
        <f>'14 Spieler'!$O$36</f>
        <v> </v>
      </c>
      <c r="BA6" s="3" t="str">
        <f>'14 Spieler'!$W$35</f>
        <v> </v>
      </c>
      <c r="BB6" s="3" t="str">
        <f>'14 Spieler'!$AE$34</f>
        <v> </v>
      </c>
      <c r="BC6" s="3" t="str">
        <f>'14 Spieler'!$I$46</f>
        <v> </v>
      </c>
      <c r="BD6" s="149" t="str">
        <f t="shared" si="15"/>
        <v> </v>
      </c>
      <c r="BE6" s="3" t="str">
        <f t="shared" si="0"/>
        <v> </v>
      </c>
      <c r="BF6" s="3" t="str">
        <f t="shared" si="1"/>
        <v> </v>
      </c>
      <c r="BG6" s="3" t="str">
        <f t="shared" si="2"/>
        <v> </v>
      </c>
      <c r="BH6" s="3" t="str">
        <f t="shared" si="3"/>
        <v> </v>
      </c>
      <c r="BI6" s="3" t="str">
        <f t="shared" si="4"/>
        <v> </v>
      </c>
      <c r="BJ6" s="3" t="str">
        <f t="shared" si="5"/>
        <v> </v>
      </c>
      <c r="BK6" s="3" t="str">
        <f t="shared" si="6"/>
        <v> </v>
      </c>
      <c r="BL6" s="3" t="str">
        <f t="shared" si="7"/>
        <v> </v>
      </c>
      <c r="BM6" s="3" t="str">
        <f t="shared" si="8"/>
        <v> </v>
      </c>
      <c r="BN6" s="3" t="str">
        <f t="shared" si="9"/>
        <v> </v>
      </c>
      <c r="BO6" s="3" t="str">
        <f t="shared" si="10"/>
        <v> </v>
      </c>
      <c r="BP6" s="3" t="str">
        <f t="shared" si="11"/>
        <v> </v>
      </c>
      <c r="BQ6" s="150">
        <f t="shared" si="16"/>
        <v>0</v>
      </c>
      <c r="BR6" s="151">
        <f t="shared" si="12"/>
        <v>0</v>
      </c>
      <c r="BS6" s="151">
        <f t="shared" si="12"/>
        <v>0</v>
      </c>
      <c r="BT6" s="151">
        <f t="shared" si="12"/>
        <v>0</v>
      </c>
      <c r="BU6" s="151">
        <f t="shared" si="12"/>
        <v>0</v>
      </c>
      <c r="BV6" s="151">
        <f t="shared" si="12"/>
        <v>0</v>
      </c>
      <c r="BW6" s="151">
        <f t="shared" si="12"/>
        <v>0</v>
      </c>
      <c r="BX6" s="151">
        <f t="shared" si="12"/>
        <v>0</v>
      </c>
      <c r="BY6" s="151">
        <f t="shared" si="12"/>
        <v>0</v>
      </c>
      <c r="BZ6" s="151">
        <f t="shared" si="12"/>
        <v>0</v>
      </c>
      <c r="CA6" s="151">
        <f t="shared" si="12"/>
        <v>0</v>
      </c>
      <c r="CB6" s="151">
        <f t="shared" si="12"/>
        <v>0</v>
      </c>
      <c r="CC6" s="151">
        <f t="shared" si="12"/>
        <v>0</v>
      </c>
      <c r="CD6" s="152">
        <f t="shared" si="17"/>
        <v>0</v>
      </c>
      <c r="CE6" s="1">
        <f t="shared" si="18"/>
        <v>0</v>
      </c>
      <c r="CF6" s="143">
        <f t="shared" si="19"/>
        <v>15</v>
      </c>
      <c r="CG6" s="143">
        <f t="shared" si="20"/>
        <v>1</v>
      </c>
      <c r="CH6" s="143">
        <f t="shared" si="21"/>
        <v>0</v>
      </c>
      <c r="CI6" s="143">
        <f t="shared" si="22"/>
        <v>15</v>
      </c>
      <c r="CJ6" s="1">
        <f t="shared" si="23"/>
        <v>0</v>
      </c>
      <c r="CK6" s="5">
        <f t="shared" si="24"/>
        <v>0</v>
      </c>
    </row>
    <row r="7" spans="2:89" ht="19.5" customHeight="1">
      <c r="B7" s="42">
        <f>IF(AND(D6=D7,E6=E7,F6=F7),"","3.")</f>
      </c>
      <c r="C7" s="43" t="str">
        <f t="shared" si="25"/>
        <v>Spieler 3</v>
      </c>
      <c r="D7" s="44">
        <f t="shared" si="26"/>
        <v>0</v>
      </c>
      <c r="E7" s="55">
        <f t="shared" si="27"/>
      </c>
      <c r="F7" s="59" t="str">
        <f t="shared" si="28"/>
        <v> </v>
      </c>
      <c r="I7" s="42">
        <f t="shared" si="29"/>
        <v>3</v>
      </c>
      <c r="J7" s="43" t="str">
        <f>'Kreuztabelle 14'!C27</f>
        <v>Spieler 3</v>
      </c>
      <c r="K7" s="44">
        <f>IF(COUNT('Kreuztabelle 14'!D27:'Kreuztabelle 14'!Q27)&gt;0,COUNT('Kreuztabelle 14'!D27:'Kreuztabelle 14'!Q27),0)</f>
        <v>0</v>
      </c>
      <c r="L7" s="55">
        <f>'Kreuztabelle 14'!S27</f>
      </c>
      <c r="M7" s="59" t="str">
        <f>'Kreuztabelle 14'!R27</f>
        <v> </v>
      </c>
      <c r="N7">
        <f>IF(M7=" ",0.12,M7*100000+L7*1000-K7+0.12)</f>
        <v>0.12</v>
      </c>
      <c r="O7" s="62">
        <f t="shared" si="13"/>
        <v>14</v>
      </c>
      <c r="P7" s="62" t="e">
        <f>IF(AND(D6=D7,E6=E7,F6=F7),P6,3)</f>
        <v>#VALUE!</v>
      </c>
      <c r="Q7" s="61" t="e">
        <f t="shared" si="30"/>
        <v>#VALUE!</v>
      </c>
      <c r="R7" s="61" t="str">
        <f t="shared" si="14"/>
        <v> </v>
      </c>
      <c r="T7" s="1">
        <v>3</v>
      </c>
      <c r="AA7" t="str">
        <f>Eingabe!C9</f>
        <v>Spieler 4</v>
      </c>
      <c r="AB7" s="1">
        <f>IF(Eingabe!E9=" ",0,Eingabe!E9)</f>
        <v>0</v>
      </c>
      <c r="AC7" s="1">
        <f>IF(Eingabe!D9=5,5,IF(Eingabe!D9=10,10,15))</f>
        <v>15</v>
      </c>
      <c r="AD7" s="149">
        <f>$AB$14</f>
        <v>0</v>
      </c>
      <c r="AE7" s="3">
        <f>$AB$12</f>
        <v>0</v>
      </c>
      <c r="AF7" s="3">
        <f>$AB$10</f>
        <v>0</v>
      </c>
      <c r="AG7" s="3">
        <f>$AB$8</f>
        <v>0</v>
      </c>
      <c r="AH7" s="3">
        <f>$AB$6</f>
        <v>0</v>
      </c>
      <c r="AI7" s="3">
        <f>$AB$4</f>
        <v>0</v>
      </c>
      <c r="AJ7" s="3">
        <f>$AB$15</f>
        <v>0</v>
      </c>
      <c r="AK7" s="3">
        <f>$AB$13</f>
        <v>0</v>
      </c>
      <c r="AL7" s="3">
        <f>$AB$11</f>
        <v>0</v>
      </c>
      <c r="AM7" s="3">
        <f>$AB$9</f>
        <v>0</v>
      </c>
      <c r="AN7" s="3">
        <f>$AB$17</f>
        <v>0</v>
      </c>
      <c r="AO7" s="3">
        <f>$AB$5</f>
        <v>0</v>
      </c>
      <c r="AP7" s="3">
        <f>$AB$16</f>
        <v>0</v>
      </c>
      <c r="AQ7" s="149" t="str">
        <f>'14 Spieler'!$I$15</f>
        <v> </v>
      </c>
      <c r="AR7" s="3" t="str">
        <f>'14 Spieler'!$Q$16</f>
        <v> </v>
      </c>
      <c r="AS7" s="3" t="str">
        <f>'14 Spieler'!$Y$17</f>
        <v> </v>
      </c>
      <c r="AT7" s="3" t="str">
        <f>'14 Spieler'!$AG$18</f>
        <v> </v>
      </c>
      <c r="AU7" s="3" t="str">
        <f>'14 Spieler'!$G$29</f>
        <v> </v>
      </c>
      <c r="AV7" s="3" t="str">
        <f>'14 Spieler'!$O$28</f>
        <v> </v>
      </c>
      <c r="AW7" s="3" t="str">
        <f>'14 Spieler'!$W$27</f>
        <v> </v>
      </c>
      <c r="AX7" s="3" t="str">
        <f>'14 Spieler'!$AE$26</f>
        <v> </v>
      </c>
      <c r="AY7" s="3" t="str">
        <f>'14 Spieler'!$G$36</f>
        <v> </v>
      </c>
      <c r="AZ7" s="3" t="str">
        <f>'14 Spieler'!$O$35</f>
        <v> </v>
      </c>
      <c r="BA7" s="3" t="str">
        <f>'14 Spieler'!$W$34</f>
        <v> </v>
      </c>
      <c r="BB7" s="3" t="str">
        <f>'14 Spieler'!$AG$35</f>
        <v> </v>
      </c>
      <c r="BC7" s="3" t="str">
        <f>'14 Spieler'!$I$47</f>
        <v> </v>
      </c>
      <c r="BD7" s="149" t="str">
        <f t="shared" si="15"/>
        <v> </v>
      </c>
      <c r="BE7" s="3" t="str">
        <f t="shared" si="0"/>
        <v> </v>
      </c>
      <c r="BF7" s="3" t="str">
        <f t="shared" si="1"/>
        <v> </v>
      </c>
      <c r="BG7" s="3" t="str">
        <f t="shared" si="2"/>
        <v> </v>
      </c>
      <c r="BH7" s="3" t="str">
        <f t="shared" si="3"/>
        <v> </v>
      </c>
      <c r="BI7" s="3" t="str">
        <f t="shared" si="4"/>
        <v> </v>
      </c>
      <c r="BJ7" s="3" t="str">
        <f t="shared" si="5"/>
        <v> </v>
      </c>
      <c r="BK7" s="3" t="str">
        <f t="shared" si="6"/>
        <v> </v>
      </c>
      <c r="BL7" s="3" t="str">
        <f t="shared" si="7"/>
        <v> </v>
      </c>
      <c r="BM7" s="3" t="str">
        <f t="shared" si="8"/>
        <v> </v>
      </c>
      <c r="BN7" s="3" t="str">
        <f t="shared" si="9"/>
        <v> </v>
      </c>
      <c r="BO7" s="3" t="str">
        <f t="shared" si="10"/>
        <v> </v>
      </c>
      <c r="BP7" s="3" t="str">
        <f t="shared" si="11"/>
        <v> </v>
      </c>
      <c r="BQ7" s="150">
        <f t="shared" si="16"/>
        <v>0</v>
      </c>
      <c r="BR7" s="151">
        <f t="shared" si="12"/>
        <v>0</v>
      </c>
      <c r="BS7" s="151">
        <f t="shared" si="12"/>
        <v>0</v>
      </c>
      <c r="BT7" s="151">
        <f t="shared" si="12"/>
        <v>0</v>
      </c>
      <c r="BU7" s="151">
        <f t="shared" si="12"/>
        <v>0</v>
      </c>
      <c r="BV7" s="151">
        <f t="shared" si="12"/>
        <v>0</v>
      </c>
      <c r="BW7" s="151">
        <f t="shared" si="12"/>
        <v>0</v>
      </c>
      <c r="BX7" s="151">
        <f t="shared" si="12"/>
        <v>0</v>
      </c>
      <c r="BY7" s="151">
        <f t="shared" si="12"/>
        <v>0</v>
      </c>
      <c r="BZ7" s="151">
        <f t="shared" si="12"/>
        <v>0</v>
      </c>
      <c r="CA7" s="151">
        <f t="shared" si="12"/>
        <v>0</v>
      </c>
      <c r="CB7" s="151">
        <f t="shared" si="12"/>
        <v>0</v>
      </c>
      <c r="CC7" s="151">
        <f t="shared" si="12"/>
        <v>0</v>
      </c>
      <c r="CD7" s="152">
        <f t="shared" si="17"/>
        <v>0</v>
      </c>
      <c r="CE7" s="1">
        <f t="shared" si="18"/>
        <v>0</v>
      </c>
      <c r="CF7" s="143">
        <f t="shared" si="19"/>
        <v>15</v>
      </c>
      <c r="CG7" s="143">
        <f t="shared" si="20"/>
        <v>1</v>
      </c>
      <c r="CH7" s="143">
        <f t="shared" si="21"/>
        <v>0</v>
      </c>
      <c r="CI7" s="143">
        <f t="shared" si="22"/>
        <v>15</v>
      </c>
      <c r="CJ7" s="1">
        <f t="shared" si="23"/>
        <v>0</v>
      </c>
      <c r="CK7" s="5">
        <f t="shared" si="24"/>
        <v>0</v>
      </c>
    </row>
    <row r="8" spans="2:89" ht="19.5" customHeight="1">
      <c r="B8" s="42">
        <f>IF(AND(D7=D8,E7=E8,F7=F8),"","4.")</f>
      </c>
      <c r="C8" s="43" t="str">
        <f t="shared" si="25"/>
        <v>Spieler 4</v>
      </c>
      <c r="D8" s="44">
        <f t="shared" si="26"/>
        <v>0</v>
      </c>
      <c r="E8" s="55">
        <f t="shared" si="27"/>
      </c>
      <c r="F8" s="59" t="str">
        <f t="shared" si="28"/>
        <v> </v>
      </c>
      <c r="I8" s="42">
        <f t="shared" si="29"/>
        <v>4</v>
      </c>
      <c r="J8" s="43" t="str">
        <f>'Kreuztabelle 14'!C28</f>
        <v>Spieler 4</v>
      </c>
      <c r="K8" s="44">
        <f>IF(COUNT('Kreuztabelle 14'!D28:'Kreuztabelle 14'!Q28)&gt;0,COUNT('Kreuztabelle 14'!D28:'Kreuztabelle 14'!Q28),0)</f>
        <v>0</v>
      </c>
      <c r="L8" s="55">
        <f>'Kreuztabelle 14'!S28</f>
      </c>
      <c r="M8" s="59" t="str">
        <f>'Kreuztabelle 14'!R28</f>
        <v> </v>
      </c>
      <c r="N8">
        <f>IF(M8=" ",0.11,M8*100000+L8*1000-K8+0.11)</f>
        <v>0.11</v>
      </c>
      <c r="O8" s="62">
        <f t="shared" si="13"/>
        <v>14</v>
      </c>
      <c r="P8" s="62" t="e">
        <f>IF(AND(D7=D8,E7=E8,F7=F8),P7,4)</f>
        <v>#VALUE!</v>
      </c>
      <c r="Q8" s="61" t="e">
        <f t="shared" si="30"/>
        <v>#VALUE!</v>
      </c>
      <c r="R8" s="61" t="str">
        <f t="shared" si="14"/>
        <v> </v>
      </c>
      <c r="T8" s="1">
        <v>4</v>
      </c>
      <c r="AA8" t="str">
        <f>Eingabe!C10</f>
        <v>Spieler 5</v>
      </c>
      <c r="AB8" s="1">
        <f>IF(Eingabe!E10=" ",0,Eingabe!E10)</f>
        <v>0</v>
      </c>
      <c r="AC8" s="1">
        <f>IF(Eingabe!D10=5,5,IF(Eingabe!D10=10,10,15))</f>
        <v>15</v>
      </c>
      <c r="AD8" s="149">
        <f>$AB$13</f>
        <v>0</v>
      </c>
      <c r="AE8" s="3">
        <f>$AB$11</f>
        <v>0</v>
      </c>
      <c r="AF8" s="3">
        <f>$AB$9</f>
        <v>0</v>
      </c>
      <c r="AG8" s="3">
        <f>$AB$7</f>
        <v>0</v>
      </c>
      <c r="AH8" s="3">
        <f>$AB$5</f>
        <v>0</v>
      </c>
      <c r="AI8" s="3">
        <f>$AB$16</f>
        <v>0</v>
      </c>
      <c r="AJ8" s="3">
        <f>$AB$14</f>
        <v>0</v>
      </c>
      <c r="AK8" s="3">
        <f>$AB$12</f>
        <v>0</v>
      </c>
      <c r="AL8" s="3">
        <f>$AB$10</f>
        <v>0</v>
      </c>
      <c r="AM8" s="3">
        <f>$AB$17</f>
        <v>0</v>
      </c>
      <c r="AN8" s="3">
        <f>$AB$6</f>
        <v>0</v>
      </c>
      <c r="AO8" s="3">
        <f>$AB$4</f>
        <v>0</v>
      </c>
      <c r="AP8" s="3">
        <f>$AB$15</f>
        <v>0</v>
      </c>
      <c r="AQ8" s="149" t="str">
        <f>'14 Spieler'!$I$16</f>
        <v> </v>
      </c>
      <c r="AR8" s="3" t="str">
        <f>'14 Spieler'!$Q$17</f>
        <v> </v>
      </c>
      <c r="AS8" s="3" t="str">
        <f>'14 Spieler'!$Y$18</f>
        <v> </v>
      </c>
      <c r="AT8" s="3" t="str">
        <f>'14 Spieler'!$AE$18</f>
        <v> </v>
      </c>
      <c r="AU8" s="3" t="str">
        <f>'14 Spieler'!$G$28</f>
        <v> </v>
      </c>
      <c r="AV8" s="3" t="str">
        <f>'14 Spieler'!$O$27</f>
        <v> </v>
      </c>
      <c r="AW8" s="3" t="str">
        <f>'14 Spieler'!$W$26</f>
        <v> </v>
      </c>
      <c r="AX8" s="3" t="str">
        <f>'14 Spieler'!$AE$25</f>
        <v> </v>
      </c>
      <c r="AY8" s="3" t="str">
        <f>'14 Spieler'!$G$35</f>
        <v> </v>
      </c>
      <c r="AZ8" s="3" t="str">
        <f>'14 Spieler'!$O$34</f>
        <v> </v>
      </c>
      <c r="BA8" s="3" t="str">
        <f>'14 Spieler'!$Y$35</f>
        <v> </v>
      </c>
      <c r="BB8" s="3" t="str">
        <f>'14 Spieler'!$AG$36</f>
        <v> </v>
      </c>
      <c r="BC8" s="3" t="str">
        <f>'14 Spieler'!$I$48</f>
        <v> </v>
      </c>
      <c r="BD8" s="149" t="str">
        <f t="shared" si="15"/>
        <v> </v>
      </c>
      <c r="BE8" s="3" t="str">
        <f t="shared" si="0"/>
        <v> </v>
      </c>
      <c r="BF8" s="3" t="str">
        <f t="shared" si="1"/>
        <v> </v>
      </c>
      <c r="BG8" s="3" t="str">
        <f t="shared" si="2"/>
        <v> </v>
      </c>
      <c r="BH8" s="3" t="str">
        <f t="shared" si="3"/>
        <v> </v>
      </c>
      <c r="BI8" s="3" t="str">
        <f t="shared" si="4"/>
        <v> </v>
      </c>
      <c r="BJ8" s="3" t="str">
        <f t="shared" si="5"/>
        <v> </v>
      </c>
      <c r="BK8" s="3" t="str">
        <f t="shared" si="6"/>
        <v> </v>
      </c>
      <c r="BL8" s="3" t="str">
        <f t="shared" si="7"/>
        <v> </v>
      </c>
      <c r="BM8" s="3" t="str">
        <f t="shared" si="8"/>
        <v> </v>
      </c>
      <c r="BN8" s="3" t="str">
        <f t="shared" si="9"/>
        <v> </v>
      </c>
      <c r="BO8" s="3" t="str">
        <f t="shared" si="10"/>
        <v> </v>
      </c>
      <c r="BP8" s="3" t="str">
        <f t="shared" si="11"/>
        <v> </v>
      </c>
      <c r="BQ8" s="150">
        <f t="shared" si="16"/>
        <v>0</v>
      </c>
      <c r="BR8" s="151">
        <f t="shared" si="12"/>
        <v>0</v>
      </c>
      <c r="BS8" s="151">
        <f t="shared" si="12"/>
        <v>0</v>
      </c>
      <c r="BT8" s="151">
        <f t="shared" si="12"/>
        <v>0</v>
      </c>
      <c r="BU8" s="151">
        <f t="shared" si="12"/>
        <v>0</v>
      </c>
      <c r="BV8" s="151">
        <f t="shared" si="12"/>
        <v>0</v>
      </c>
      <c r="BW8" s="151">
        <f t="shared" si="12"/>
        <v>0</v>
      </c>
      <c r="BX8" s="151">
        <f t="shared" si="12"/>
        <v>0</v>
      </c>
      <c r="BY8" s="151">
        <f t="shared" si="12"/>
        <v>0</v>
      </c>
      <c r="BZ8" s="151">
        <f t="shared" si="12"/>
        <v>0</v>
      </c>
      <c r="CA8" s="151">
        <f t="shared" si="12"/>
        <v>0</v>
      </c>
      <c r="CB8" s="151">
        <f t="shared" si="12"/>
        <v>0</v>
      </c>
      <c r="CC8" s="151">
        <f t="shared" si="12"/>
        <v>0</v>
      </c>
      <c r="CD8" s="152">
        <f t="shared" si="17"/>
        <v>0</v>
      </c>
      <c r="CE8" s="1">
        <f t="shared" si="18"/>
        <v>0</v>
      </c>
      <c r="CF8" s="143">
        <f t="shared" si="19"/>
        <v>15</v>
      </c>
      <c r="CG8" s="143">
        <f t="shared" si="20"/>
        <v>1</v>
      </c>
      <c r="CH8" s="143">
        <f t="shared" si="21"/>
        <v>0</v>
      </c>
      <c r="CI8" s="143">
        <f t="shared" si="22"/>
        <v>15</v>
      </c>
      <c r="CJ8" s="1">
        <f t="shared" si="23"/>
        <v>0</v>
      </c>
      <c r="CK8" s="5">
        <f t="shared" si="24"/>
        <v>0</v>
      </c>
    </row>
    <row r="9" spans="2:89" ht="19.5" customHeight="1">
      <c r="B9" s="42">
        <f>IF(AND(D8=D9,E8=E9,F8=F9),"","5.")</f>
      </c>
      <c r="C9" s="43" t="str">
        <f t="shared" si="25"/>
        <v>Spieler 5</v>
      </c>
      <c r="D9" s="44">
        <f t="shared" si="26"/>
        <v>0</v>
      </c>
      <c r="E9" s="55">
        <f t="shared" si="27"/>
      </c>
      <c r="F9" s="59" t="str">
        <f t="shared" si="28"/>
        <v> </v>
      </c>
      <c r="I9" s="42">
        <f t="shared" si="29"/>
        <v>5</v>
      </c>
      <c r="J9" s="43" t="str">
        <f>'Kreuztabelle 14'!C29</f>
        <v>Spieler 5</v>
      </c>
      <c r="K9" s="44">
        <f>IF(COUNT('Kreuztabelle 14'!D29:'Kreuztabelle 14'!Q29)&gt;0,COUNT('Kreuztabelle 14'!D29:'Kreuztabelle 14'!Q29),0)</f>
        <v>0</v>
      </c>
      <c r="L9" s="55">
        <f>'Kreuztabelle 14'!S29</f>
      </c>
      <c r="M9" s="59" t="str">
        <f>'Kreuztabelle 14'!R29</f>
        <v> </v>
      </c>
      <c r="N9">
        <f>IF(M9=" ",0.1,M9*100000+L9*1000-K9+0.1)</f>
        <v>0.1</v>
      </c>
      <c r="O9" s="62">
        <f t="shared" si="13"/>
        <v>14</v>
      </c>
      <c r="P9" s="62" t="e">
        <f>IF(AND(D8=D9,E8=E9,F8=F9),P8,5)</f>
        <v>#VALUE!</v>
      </c>
      <c r="Q9" s="61" t="e">
        <f t="shared" si="30"/>
        <v>#VALUE!</v>
      </c>
      <c r="R9" s="61" t="str">
        <f t="shared" si="14"/>
        <v> </v>
      </c>
      <c r="T9" s="1">
        <v>5</v>
      </c>
      <c r="AA9" t="str">
        <f>Eingabe!C11</f>
        <v>Spieler 6</v>
      </c>
      <c r="AB9" s="1">
        <f>IF(Eingabe!E11=" ",0,Eingabe!E11)</f>
        <v>0</v>
      </c>
      <c r="AC9" s="1">
        <f>IF(Eingabe!D11=5,5,IF(Eingabe!D11=10,10,15))</f>
        <v>15</v>
      </c>
      <c r="AD9" s="149">
        <f>$AB$12</f>
        <v>0</v>
      </c>
      <c r="AE9" s="3">
        <f>$AB$10</f>
        <v>0</v>
      </c>
      <c r="AF9" s="3">
        <f>$AB$8</f>
        <v>0</v>
      </c>
      <c r="AG9" s="3">
        <f>$AB$6</f>
        <v>0</v>
      </c>
      <c r="AH9" s="3">
        <f>$AB$4</f>
        <v>0</v>
      </c>
      <c r="AI9" s="3">
        <f>$AB$15</f>
        <v>0</v>
      </c>
      <c r="AJ9" s="3">
        <f>$AB$13</f>
        <v>0</v>
      </c>
      <c r="AK9" s="3">
        <f>$AB$11</f>
        <v>0</v>
      </c>
      <c r="AL9" s="3">
        <f>$AB$17</f>
        <v>0</v>
      </c>
      <c r="AM9" s="3">
        <f>$AB$7</f>
        <v>0</v>
      </c>
      <c r="AN9" s="3">
        <f>$AB$5</f>
        <v>0</v>
      </c>
      <c r="AO9" s="3">
        <f>$AB$16</f>
        <v>0</v>
      </c>
      <c r="AP9" s="3">
        <f>$AB$14</f>
        <v>0</v>
      </c>
      <c r="AQ9" s="149" t="str">
        <f>'14 Spieler'!$I$17</f>
        <v> </v>
      </c>
      <c r="AR9" s="3" t="str">
        <f>'14 Spieler'!$Q$18</f>
        <v> </v>
      </c>
      <c r="AS9" s="3" t="str">
        <f>'14 Spieler'!$W$18</f>
        <v> </v>
      </c>
      <c r="AT9" s="3" t="str">
        <f>'14 Spieler'!$AE$17</f>
        <v> </v>
      </c>
      <c r="AU9" s="3" t="str">
        <f>'14 Spieler'!$G$27</f>
        <v> </v>
      </c>
      <c r="AV9" s="3" t="str">
        <f>'14 Spieler'!$O$26</f>
        <v> </v>
      </c>
      <c r="AW9" s="3" t="str">
        <f>'14 Spieler'!$W$25</f>
        <v> </v>
      </c>
      <c r="AX9" s="3" t="str">
        <f>'14 Spieler'!$AE$24</f>
        <v> </v>
      </c>
      <c r="AY9" s="3" t="str">
        <f>'14 Spieler'!$G$34</f>
        <v> </v>
      </c>
      <c r="AZ9" s="3" t="str">
        <f>'14 Spieler'!$Q$35</f>
        <v> </v>
      </c>
      <c r="BA9" s="3" t="str">
        <f>'14 Spieler'!$Y$36</f>
        <v> </v>
      </c>
      <c r="BB9" s="3" t="str">
        <f>'14 Spieler'!$AG$37</f>
        <v> </v>
      </c>
      <c r="BC9" s="3" t="str">
        <f>'14 Spieler'!$I$49</f>
        <v> </v>
      </c>
      <c r="BD9" s="149" t="str">
        <f t="shared" si="15"/>
        <v> </v>
      </c>
      <c r="BE9" s="3" t="str">
        <f t="shared" si="0"/>
        <v> </v>
      </c>
      <c r="BF9" s="3" t="str">
        <f t="shared" si="1"/>
        <v> </v>
      </c>
      <c r="BG9" s="3" t="str">
        <f t="shared" si="2"/>
        <v> </v>
      </c>
      <c r="BH9" s="3" t="str">
        <f t="shared" si="3"/>
        <v> </v>
      </c>
      <c r="BI9" s="3" t="str">
        <f t="shared" si="4"/>
        <v> </v>
      </c>
      <c r="BJ9" s="3" t="str">
        <f t="shared" si="5"/>
        <v> </v>
      </c>
      <c r="BK9" s="3" t="str">
        <f t="shared" si="6"/>
        <v> </v>
      </c>
      <c r="BL9" s="3" t="str">
        <f t="shared" si="7"/>
        <v> </v>
      </c>
      <c r="BM9" s="3" t="str">
        <f t="shared" si="8"/>
        <v> </v>
      </c>
      <c r="BN9" s="3" t="str">
        <f t="shared" si="9"/>
        <v> </v>
      </c>
      <c r="BO9" s="3" t="str">
        <f t="shared" si="10"/>
        <v> </v>
      </c>
      <c r="BP9" s="3" t="str">
        <f t="shared" si="11"/>
        <v> </v>
      </c>
      <c r="BQ9" s="150">
        <f t="shared" si="16"/>
        <v>0</v>
      </c>
      <c r="BR9" s="151">
        <f t="shared" si="12"/>
        <v>0</v>
      </c>
      <c r="BS9" s="151">
        <f t="shared" si="12"/>
        <v>0</v>
      </c>
      <c r="BT9" s="151">
        <f t="shared" si="12"/>
        <v>0</v>
      </c>
      <c r="BU9" s="151">
        <f t="shared" si="12"/>
        <v>0</v>
      </c>
      <c r="BV9" s="151">
        <f t="shared" si="12"/>
        <v>0</v>
      </c>
      <c r="BW9" s="151">
        <f t="shared" si="12"/>
        <v>0</v>
      </c>
      <c r="BX9" s="151">
        <f t="shared" si="12"/>
        <v>0</v>
      </c>
      <c r="BY9" s="151">
        <f t="shared" si="12"/>
        <v>0</v>
      </c>
      <c r="BZ9" s="151">
        <f t="shared" si="12"/>
        <v>0</v>
      </c>
      <c r="CA9" s="151">
        <f t="shared" si="12"/>
        <v>0</v>
      </c>
      <c r="CB9" s="151">
        <f t="shared" si="12"/>
        <v>0</v>
      </c>
      <c r="CC9" s="151">
        <f t="shared" si="12"/>
        <v>0</v>
      </c>
      <c r="CD9" s="152">
        <f t="shared" si="17"/>
        <v>0</v>
      </c>
      <c r="CE9" s="1">
        <f t="shared" si="18"/>
        <v>0</v>
      </c>
      <c r="CF9" s="143">
        <f t="shared" si="19"/>
        <v>15</v>
      </c>
      <c r="CG9" s="143">
        <f t="shared" si="20"/>
        <v>1</v>
      </c>
      <c r="CH9" s="143">
        <f t="shared" si="21"/>
        <v>0</v>
      </c>
      <c r="CI9" s="143">
        <f t="shared" si="22"/>
        <v>15</v>
      </c>
      <c r="CJ9" s="1">
        <f t="shared" si="23"/>
        <v>0</v>
      </c>
      <c r="CK9" s="5">
        <f t="shared" si="24"/>
        <v>0</v>
      </c>
    </row>
    <row r="10" spans="2:89" ht="19.5" customHeight="1">
      <c r="B10" s="42">
        <f>IF(AND(D9=D10,E9=E10,F9=F10),"","6.")</f>
      </c>
      <c r="C10" s="43" t="str">
        <f t="shared" si="25"/>
        <v>Spieler 6</v>
      </c>
      <c r="D10" s="44">
        <f t="shared" si="26"/>
        <v>0</v>
      </c>
      <c r="E10" s="55">
        <f t="shared" si="27"/>
      </c>
      <c r="F10" s="59" t="str">
        <f t="shared" si="28"/>
        <v> </v>
      </c>
      <c r="I10" s="42">
        <f t="shared" si="29"/>
        <v>6</v>
      </c>
      <c r="J10" s="43" t="str">
        <f>'Kreuztabelle 14'!C30</f>
        <v>Spieler 6</v>
      </c>
      <c r="K10" s="44">
        <f>IF(COUNT('Kreuztabelle 14'!D30:'Kreuztabelle 14'!Q30)&gt;0,COUNT('Kreuztabelle 14'!D30:'Kreuztabelle 14'!Q30),0)</f>
        <v>0</v>
      </c>
      <c r="L10" s="55">
        <f>'Kreuztabelle 14'!S30</f>
      </c>
      <c r="M10" s="59" t="str">
        <f>'Kreuztabelle 14'!R30</f>
        <v> </v>
      </c>
      <c r="N10">
        <f>IF(M10=" ",0.09,M10*100000+L10*1000-K10+0.09)</f>
        <v>0.09</v>
      </c>
      <c r="O10" s="62">
        <f t="shared" si="13"/>
        <v>14</v>
      </c>
      <c r="P10" s="62" t="e">
        <f>IF(AND(D9=D10,E9=E10,F9=F10),P9,6)</f>
        <v>#VALUE!</v>
      </c>
      <c r="Q10" s="61" t="e">
        <f t="shared" si="30"/>
        <v>#VALUE!</v>
      </c>
      <c r="R10" s="61" t="str">
        <f t="shared" si="14"/>
        <v> </v>
      </c>
      <c r="T10" s="1">
        <v>6</v>
      </c>
      <c r="AA10" t="str">
        <f>Eingabe!C12</f>
        <v>Spieler 7</v>
      </c>
      <c r="AB10" s="1">
        <f>IF(Eingabe!E12=" ",0,Eingabe!E12)</f>
        <v>0</v>
      </c>
      <c r="AC10" s="1">
        <f>IF(Eingabe!D12=5,5,IF(Eingabe!D12=10,10,15))</f>
        <v>15</v>
      </c>
      <c r="AD10" s="149">
        <f>$AB$11</f>
        <v>0</v>
      </c>
      <c r="AE10" s="3">
        <f>$AB$9</f>
        <v>0</v>
      </c>
      <c r="AF10" s="3">
        <f>$AB$7</f>
        <v>0</v>
      </c>
      <c r="AG10" s="3">
        <f>$AB$5</f>
        <v>0</v>
      </c>
      <c r="AH10" s="3">
        <f>$AB$16</f>
        <v>0</v>
      </c>
      <c r="AI10" s="3">
        <f>$AB$14</f>
        <v>0</v>
      </c>
      <c r="AJ10" s="3">
        <f>$AB$12</f>
        <v>0</v>
      </c>
      <c r="AK10" s="3">
        <f>$AB$17</f>
        <v>0</v>
      </c>
      <c r="AL10" s="3">
        <f>$AB$8</f>
        <v>0</v>
      </c>
      <c r="AM10" s="3">
        <f>$AB$6</f>
        <v>0</v>
      </c>
      <c r="AN10" s="3">
        <f>$AB$4</f>
        <v>0</v>
      </c>
      <c r="AO10" s="3">
        <f>$AB$15</f>
        <v>0</v>
      </c>
      <c r="AP10" s="3">
        <f>$AB$13</f>
        <v>0</v>
      </c>
      <c r="AQ10" s="149" t="str">
        <f>'14 Spieler'!$I$18</f>
        <v> </v>
      </c>
      <c r="AR10" s="3" t="str">
        <f>'14 Spieler'!$O$18</f>
        <v> </v>
      </c>
      <c r="AS10" s="3" t="str">
        <f>'14 Spieler'!$W$17</f>
        <v> </v>
      </c>
      <c r="AT10" s="3" t="str">
        <f>'14 Spieler'!$AE$16</f>
        <v> </v>
      </c>
      <c r="AU10" s="3" t="str">
        <f>'14 Spieler'!$G$26</f>
        <v> </v>
      </c>
      <c r="AV10" s="3" t="str">
        <f>'14 Spieler'!$O$25</f>
        <v> </v>
      </c>
      <c r="AW10" s="3" t="str">
        <f>'14 Spieler'!$W$24</f>
        <v> </v>
      </c>
      <c r="AX10" s="3" t="str">
        <f>'14 Spieler'!$AE$23</f>
        <v> </v>
      </c>
      <c r="AY10" s="3" t="str">
        <f>'14 Spieler'!$I$35</f>
        <v> </v>
      </c>
      <c r="AZ10" s="3" t="str">
        <f>'14 Spieler'!$Q$36</f>
        <v> </v>
      </c>
      <c r="BA10" s="3" t="str">
        <f>'14 Spieler'!$Y$37</f>
        <v> </v>
      </c>
      <c r="BB10" s="3" t="str">
        <f>'14 Spieler'!$AG$38</f>
        <v> </v>
      </c>
      <c r="BC10" s="3" t="str">
        <f>'14 Spieler'!$I$50</f>
        <v> </v>
      </c>
      <c r="BD10" s="149" t="str">
        <f t="shared" si="15"/>
        <v> </v>
      </c>
      <c r="BE10" s="3" t="str">
        <f t="shared" si="0"/>
        <v> </v>
      </c>
      <c r="BF10" s="3" t="str">
        <f t="shared" si="1"/>
        <v> </v>
      </c>
      <c r="BG10" s="3" t="str">
        <f t="shared" si="2"/>
        <v> </v>
      </c>
      <c r="BH10" s="3" t="str">
        <f t="shared" si="3"/>
        <v> </v>
      </c>
      <c r="BI10" s="3" t="str">
        <f t="shared" si="4"/>
        <v> </v>
      </c>
      <c r="BJ10" s="3" t="str">
        <f t="shared" si="5"/>
        <v> </v>
      </c>
      <c r="BK10" s="3" t="str">
        <f t="shared" si="6"/>
        <v> </v>
      </c>
      <c r="BL10" s="3" t="str">
        <f t="shared" si="7"/>
        <v> </v>
      </c>
      <c r="BM10" s="3" t="str">
        <f t="shared" si="8"/>
        <v> </v>
      </c>
      <c r="BN10" s="3" t="str">
        <f t="shared" si="9"/>
        <v> </v>
      </c>
      <c r="BO10" s="3" t="str">
        <f t="shared" si="10"/>
        <v> </v>
      </c>
      <c r="BP10" s="3" t="str">
        <f t="shared" si="11"/>
        <v> </v>
      </c>
      <c r="BQ10" s="150">
        <f t="shared" si="16"/>
        <v>0</v>
      </c>
      <c r="BR10" s="151">
        <f t="shared" si="12"/>
        <v>0</v>
      </c>
      <c r="BS10" s="151">
        <f t="shared" si="12"/>
        <v>0</v>
      </c>
      <c r="BT10" s="151">
        <f t="shared" si="12"/>
        <v>0</v>
      </c>
      <c r="BU10" s="151">
        <f t="shared" si="12"/>
        <v>0</v>
      </c>
      <c r="BV10" s="151">
        <f t="shared" si="12"/>
        <v>0</v>
      </c>
      <c r="BW10" s="151">
        <f t="shared" si="12"/>
        <v>0</v>
      </c>
      <c r="BX10" s="151">
        <f t="shared" si="12"/>
        <v>0</v>
      </c>
      <c r="BY10" s="151">
        <f t="shared" si="12"/>
        <v>0</v>
      </c>
      <c r="BZ10" s="151">
        <f t="shared" si="12"/>
        <v>0</v>
      </c>
      <c r="CA10" s="151">
        <f t="shared" si="12"/>
        <v>0</v>
      </c>
      <c r="CB10" s="151">
        <f t="shared" si="12"/>
        <v>0</v>
      </c>
      <c r="CC10" s="151">
        <f t="shared" si="12"/>
        <v>0</v>
      </c>
      <c r="CD10" s="152">
        <f t="shared" si="17"/>
        <v>0</v>
      </c>
      <c r="CE10" s="1">
        <f t="shared" si="18"/>
        <v>0</v>
      </c>
      <c r="CF10" s="143">
        <f t="shared" si="19"/>
        <v>15</v>
      </c>
      <c r="CG10" s="143">
        <f t="shared" si="20"/>
        <v>1</v>
      </c>
      <c r="CH10" s="143">
        <f t="shared" si="21"/>
        <v>0</v>
      </c>
      <c r="CI10" s="143">
        <f t="shared" si="22"/>
        <v>15</v>
      </c>
      <c r="CJ10" s="1">
        <f t="shared" si="23"/>
        <v>0</v>
      </c>
      <c r="CK10" s="5">
        <f t="shared" si="24"/>
        <v>0</v>
      </c>
    </row>
    <row r="11" spans="2:89" ht="19.5" customHeight="1">
      <c r="B11" s="42">
        <f>IF(AND(D10=D11,E10=E11,F10=F11),"","7.")</f>
      </c>
      <c r="C11" s="43" t="str">
        <f t="shared" si="25"/>
        <v>Spieler 7</v>
      </c>
      <c r="D11" s="44">
        <f t="shared" si="26"/>
        <v>0</v>
      </c>
      <c r="E11" s="55">
        <f t="shared" si="27"/>
      </c>
      <c r="F11" s="59" t="str">
        <f t="shared" si="28"/>
        <v> </v>
      </c>
      <c r="I11" s="42">
        <f t="shared" si="29"/>
        <v>7</v>
      </c>
      <c r="J11" s="43" t="str">
        <f>'Kreuztabelle 14'!C31</f>
        <v>Spieler 7</v>
      </c>
      <c r="K11" s="44">
        <f>IF(COUNT('Kreuztabelle 14'!D31:'Kreuztabelle 14'!Q31)&gt;0,COUNT('Kreuztabelle 14'!D31:'Kreuztabelle 14'!Q31),0)</f>
        <v>0</v>
      </c>
      <c r="L11" s="55">
        <f>'Kreuztabelle 14'!S31</f>
      </c>
      <c r="M11" s="59" t="str">
        <f>'Kreuztabelle 14'!R31</f>
        <v> </v>
      </c>
      <c r="N11">
        <f>IF(M11=" ",0.08,M11*100000+L11*1000-K11+0.08)</f>
        <v>0.08</v>
      </c>
      <c r="O11" s="62">
        <f t="shared" si="13"/>
        <v>14</v>
      </c>
      <c r="P11" s="62" t="e">
        <f>IF(AND(D10=D11,E10=E11,F10=F11),P10,7)</f>
        <v>#VALUE!</v>
      </c>
      <c r="Q11" s="61" t="e">
        <f t="shared" si="30"/>
        <v>#VALUE!</v>
      </c>
      <c r="R11" s="61" t="str">
        <f t="shared" si="14"/>
        <v> </v>
      </c>
      <c r="T11" s="1">
        <v>7</v>
      </c>
      <c r="AA11" t="str">
        <f>Eingabe!C13</f>
        <v>Spieler 8</v>
      </c>
      <c r="AB11" s="1">
        <f>IF(Eingabe!E13=" ",0,Eingabe!E13)</f>
        <v>0</v>
      </c>
      <c r="AC11" s="1">
        <f>IF(Eingabe!D13=5,5,IF(Eingabe!D13=10,10,15))</f>
        <v>15</v>
      </c>
      <c r="AD11" s="149">
        <f>$AB$10</f>
        <v>0</v>
      </c>
      <c r="AE11" s="3">
        <f>$AB$8</f>
        <v>0</v>
      </c>
      <c r="AF11" s="3">
        <f>$AB$6</f>
        <v>0</v>
      </c>
      <c r="AG11" s="3">
        <f>$AB$4</f>
        <v>0</v>
      </c>
      <c r="AH11" s="3">
        <f>$AB$15</f>
        <v>0</v>
      </c>
      <c r="AI11" s="3">
        <f>$AB$13</f>
        <v>0</v>
      </c>
      <c r="AJ11" s="3">
        <f>$AB$17</f>
        <v>0</v>
      </c>
      <c r="AK11" s="3">
        <f>$AB$9</f>
        <v>0</v>
      </c>
      <c r="AL11" s="3">
        <f>$AB$7</f>
        <v>0</v>
      </c>
      <c r="AM11" s="3">
        <f>$AB$5</f>
        <v>0</v>
      </c>
      <c r="AN11" s="3">
        <f>$AB$16</f>
        <v>0</v>
      </c>
      <c r="AO11" s="3">
        <f>$AB$14</f>
        <v>0</v>
      </c>
      <c r="AP11" s="3">
        <f>$AB$12</f>
        <v>0</v>
      </c>
      <c r="AQ11" s="149" t="str">
        <f>'14 Spieler'!$G$18</f>
        <v> </v>
      </c>
      <c r="AR11" s="3" t="str">
        <f>'14 Spieler'!$O$17</f>
        <v> </v>
      </c>
      <c r="AS11" s="3" t="str">
        <f>'14 Spieler'!$W$16</f>
        <v> </v>
      </c>
      <c r="AT11" s="3" t="str">
        <f>'14 Spieler'!$AE$15</f>
        <v> </v>
      </c>
      <c r="AU11" s="3" t="str">
        <f>'14 Spieler'!$G$25</f>
        <v> </v>
      </c>
      <c r="AV11" s="3" t="str">
        <f>'14 Spieler'!$O$24</f>
        <v> </v>
      </c>
      <c r="AW11" s="3" t="str">
        <f>'14 Spieler'!$W$23</f>
        <v> </v>
      </c>
      <c r="AX11" s="3" t="str">
        <f>'14 Spieler'!$AG$24</f>
        <v> </v>
      </c>
      <c r="AY11" s="3" t="str">
        <f>'14 Spieler'!$I$36</f>
        <v> </v>
      </c>
      <c r="AZ11" s="3" t="str">
        <f>'14 Spieler'!$Q$37</f>
        <v> </v>
      </c>
      <c r="BA11" s="3" t="str">
        <f>'14 Spieler'!$Y$38</f>
        <v> </v>
      </c>
      <c r="BB11" s="3" t="str">
        <f>'14 Spieler'!$AG$39</f>
        <v> </v>
      </c>
      <c r="BC11" s="3" t="str">
        <f>'14 Spieler'!$I$51</f>
        <v> </v>
      </c>
      <c r="BD11" s="149" t="str">
        <f t="shared" si="15"/>
        <v> </v>
      </c>
      <c r="BE11" s="3" t="str">
        <f t="shared" si="0"/>
        <v> </v>
      </c>
      <c r="BF11" s="3" t="str">
        <f t="shared" si="1"/>
        <v> </v>
      </c>
      <c r="BG11" s="3" t="str">
        <f t="shared" si="2"/>
        <v> </v>
      </c>
      <c r="BH11" s="3" t="str">
        <f t="shared" si="3"/>
        <v> </v>
      </c>
      <c r="BI11" s="3" t="str">
        <f t="shared" si="4"/>
        <v> </v>
      </c>
      <c r="BJ11" s="3" t="str">
        <f t="shared" si="5"/>
        <v> </v>
      </c>
      <c r="BK11" s="3" t="str">
        <f t="shared" si="6"/>
        <v> </v>
      </c>
      <c r="BL11" s="3" t="str">
        <f t="shared" si="7"/>
        <v> </v>
      </c>
      <c r="BM11" s="3" t="str">
        <f t="shared" si="8"/>
        <v> </v>
      </c>
      <c r="BN11" s="3" t="str">
        <f t="shared" si="9"/>
        <v> </v>
      </c>
      <c r="BO11" s="3" t="str">
        <f t="shared" si="10"/>
        <v> </v>
      </c>
      <c r="BP11" s="3" t="str">
        <f t="shared" si="11"/>
        <v> </v>
      </c>
      <c r="BQ11" s="150">
        <f t="shared" si="16"/>
        <v>0</v>
      </c>
      <c r="BR11" s="151">
        <f t="shared" si="12"/>
        <v>0</v>
      </c>
      <c r="BS11" s="151">
        <f t="shared" si="12"/>
        <v>0</v>
      </c>
      <c r="BT11" s="151">
        <f t="shared" si="12"/>
        <v>0</v>
      </c>
      <c r="BU11" s="151">
        <f t="shared" si="12"/>
        <v>0</v>
      </c>
      <c r="BV11" s="151">
        <f t="shared" si="12"/>
        <v>0</v>
      </c>
      <c r="BW11" s="151">
        <f t="shared" si="12"/>
        <v>0</v>
      </c>
      <c r="BX11" s="151">
        <f t="shared" si="12"/>
        <v>0</v>
      </c>
      <c r="BY11" s="151">
        <f t="shared" si="12"/>
        <v>0</v>
      </c>
      <c r="BZ11" s="151">
        <f t="shared" si="12"/>
        <v>0</v>
      </c>
      <c r="CA11" s="151">
        <f t="shared" si="12"/>
        <v>0</v>
      </c>
      <c r="CB11" s="151">
        <f t="shared" si="12"/>
        <v>0</v>
      </c>
      <c r="CC11" s="151">
        <f t="shared" si="12"/>
        <v>0</v>
      </c>
      <c r="CD11" s="152">
        <f t="shared" si="17"/>
        <v>0</v>
      </c>
      <c r="CE11" s="1">
        <f t="shared" si="18"/>
        <v>0</v>
      </c>
      <c r="CF11" s="143">
        <f t="shared" si="19"/>
        <v>15</v>
      </c>
      <c r="CG11" s="143">
        <f t="shared" si="20"/>
        <v>1</v>
      </c>
      <c r="CH11" s="143">
        <f t="shared" si="21"/>
        <v>0</v>
      </c>
      <c r="CI11" s="143">
        <f t="shared" si="22"/>
        <v>15</v>
      </c>
      <c r="CJ11" s="1">
        <f t="shared" si="23"/>
        <v>0</v>
      </c>
      <c r="CK11" s="5">
        <f t="shared" si="24"/>
        <v>0</v>
      </c>
    </row>
    <row r="12" spans="2:89" ht="19.5" customHeight="1">
      <c r="B12" s="42">
        <f>IF(AND(D11=D12,E11=E12,F11=F12),"","8.")</f>
      </c>
      <c r="C12" s="43" t="str">
        <f t="shared" si="25"/>
        <v>Spieler 8</v>
      </c>
      <c r="D12" s="44">
        <f t="shared" si="26"/>
        <v>0</v>
      </c>
      <c r="E12" s="55">
        <f t="shared" si="27"/>
      </c>
      <c r="F12" s="59" t="str">
        <f t="shared" si="28"/>
        <v> </v>
      </c>
      <c r="I12" s="42">
        <f t="shared" si="29"/>
        <v>8</v>
      </c>
      <c r="J12" s="43" t="str">
        <f>'Kreuztabelle 14'!C32</f>
        <v>Spieler 8</v>
      </c>
      <c r="K12" s="44">
        <f>IF(COUNT('Kreuztabelle 14'!D32:'Kreuztabelle 14'!Q32)&gt;0,COUNT('Kreuztabelle 14'!D32:'Kreuztabelle 14'!Q32),0)</f>
        <v>0</v>
      </c>
      <c r="L12" s="55">
        <f>'Kreuztabelle 14'!S32</f>
      </c>
      <c r="M12" s="59" t="str">
        <f>'Kreuztabelle 14'!R32</f>
        <v> </v>
      </c>
      <c r="N12">
        <f>IF(M12=" ",0.07,M12*100000+L12*1000-K12+0.07)</f>
        <v>0.07</v>
      </c>
      <c r="O12" s="62">
        <f t="shared" si="13"/>
        <v>14</v>
      </c>
      <c r="P12" s="62" t="e">
        <f>IF(AND(D11=D12,E11=E12,F11=F12),P11,8)</f>
        <v>#VALUE!</v>
      </c>
      <c r="Q12" s="61" t="e">
        <f t="shared" si="30"/>
        <v>#VALUE!</v>
      </c>
      <c r="R12" s="61" t="str">
        <f t="shared" si="14"/>
        <v> </v>
      </c>
      <c r="T12" s="1">
        <v>8</v>
      </c>
      <c r="AA12" t="str">
        <f>Eingabe!C14</f>
        <v>Spieler 9</v>
      </c>
      <c r="AB12" s="1">
        <f>IF(Eingabe!E14=" ",0,Eingabe!E14)</f>
        <v>0</v>
      </c>
      <c r="AC12" s="1">
        <f>IF(Eingabe!D14=5,5,IF(Eingabe!D14=10,10,15))</f>
        <v>15</v>
      </c>
      <c r="AD12" s="149">
        <f>$AB$9</f>
        <v>0</v>
      </c>
      <c r="AE12" s="3">
        <f>$AB$7</f>
        <v>0</v>
      </c>
      <c r="AF12" s="3">
        <f>$AB$5</f>
        <v>0</v>
      </c>
      <c r="AG12" s="3">
        <f>$AB$16</f>
        <v>0</v>
      </c>
      <c r="AH12" s="3">
        <f>$AB$14</f>
        <v>0</v>
      </c>
      <c r="AI12" s="3">
        <f>$AB$17</f>
        <v>0</v>
      </c>
      <c r="AJ12" s="3">
        <f>$AB$10</f>
        <v>0</v>
      </c>
      <c r="AK12" s="3">
        <f>$AB$8</f>
        <v>0</v>
      </c>
      <c r="AL12" s="3">
        <f>$AB$6</f>
        <v>0</v>
      </c>
      <c r="AM12" s="3">
        <f>$AB$4</f>
        <v>0</v>
      </c>
      <c r="AN12" s="3">
        <f>$AB$15</f>
        <v>0</v>
      </c>
      <c r="AO12" s="3">
        <f>$AB$13</f>
        <v>0</v>
      </c>
      <c r="AP12" s="3">
        <f>$AB$11</f>
        <v>0</v>
      </c>
      <c r="AQ12" s="149" t="str">
        <f>'14 Spieler'!$G$17</f>
        <v> </v>
      </c>
      <c r="AR12" s="3" t="str">
        <f>'14 Spieler'!$O$16</f>
        <v> </v>
      </c>
      <c r="AS12" s="3" t="str">
        <f>'14 Spieler'!$W$15</f>
        <v> </v>
      </c>
      <c r="AT12" s="3" t="str">
        <f>'14 Spieler'!$AE$14</f>
        <v> </v>
      </c>
      <c r="AU12" s="3" t="str">
        <f>'14 Spieler'!$G$24</f>
        <v> </v>
      </c>
      <c r="AV12" s="3" t="str">
        <f>'14 Spieler'!$O$23</f>
        <v> </v>
      </c>
      <c r="AW12" s="3" t="str">
        <f>'14 Spieler'!$Y$24</f>
        <v> </v>
      </c>
      <c r="AX12" s="3" t="str">
        <f>'14 Spieler'!$AG$25</f>
        <v> </v>
      </c>
      <c r="AY12" s="3" t="str">
        <f>'14 Spieler'!$I$37</f>
        <v> </v>
      </c>
      <c r="AZ12" s="3" t="str">
        <f>'14 Spieler'!$Q$38</f>
        <v> </v>
      </c>
      <c r="BA12" s="3" t="str">
        <f>'14 Spieler'!$Y$39</f>
        <v> </v>
      </c>
      <c r="BB12" s="3" t="str">
        <f>'14 Spieler'!$AG$40</f>
        <v> </v>
      </c>
      <c r="BC12" s="3" t="str">
        <f>'14 Spieler'!$G$51</f>
        <v> </v>
      </c>
      <c r="BD12" s="149" t="str">
        <f t="shared" si="15"/>
        <v> </v>
      </c>
      <c r="BE12" s="3" t="str">
        <f t="shared" si="0"/>
        <v> </v>
      </c>
      <c r="BF12" s="3" t="str">
        <f t="shared" si="1"/>
        <v> </v>
      </c>
      <c r="BG12" s="3" t="str">
        <f t="shared" si="2"/>
        <v> </v>
      </c>
      <c r="BH12" s="3" t="str">
        <f t="shared" si="3"/>
        <v> </v>
      </c>
      <c r="BI12" s="3" t="str">
        <f t="shared" si="4"/>
        <v> </v>
      </c>
      <c r="BJ12" s="3" t="str">
        <f t="shared" si="5"/>
        <v> </v>
      </c>
      <c r="BK12" s="3" t="str">
        <f t="shared" si="6"/>
        <v> </v>
      </c>
      <c r="BL12" s="3" t="str">
        <f t="shared" si="7"/>
        <v> </v>
      </c>
      <c r="BM12" s="3" t="str">
        <f t="shared" si="8"/>
        <v> </v>
      </c>
      <c r="BN12" s="3" t="str">
        <f t="shared" si="9"/>
        <v> </v>
      </c>
      <c r="BO12" s="3" t="str">
        <f t="shared" si="10"/>
        <v> </v>
      </c>
      <c r="BP12" s="3" t="str">
        <f t="shared" si="11"/>
        <v> </v>
      </c>
      <c r="BQ12" s="150">
        <f t="shared" si="16"/>
        <v>0</v>
      </c>
      <c r="BR12" s="151">
        <f t="shared" si="12"/>
        <v>0</v>
      </c>
      <c r="BS12" s="151">
        <f t="shared" si="12"/>
        <v>0</v>
      </c>
      <c r="BT12" s="151">
        <f t="shared" si="12"/>
        <v>0</v>
      </c>
      <c r="BU12" s="151">
        <f t="shared" si="12"/>
        <v>0</v>
      </c>
      <c r="BV12" s="151">
        <f t="shared" si="12"/>
        <v>0</v>
      </c>
      <c r="BW12" s="151">
        <f t="shared" si="12"/>
        <v>0</v>
      </c>
      <c r="BX12" s="151">
        <f t="shared" si="12"/>
        <v>0</v>
      </c>
      <c r="BY12" s="151">
        <f t="shared" si="12"/>
        <v>0</v>
      </c>
      <c r="BZ12" s="151">
        <f t="shared" si="12"/>
        <v>0</v>
      </c>
      <c r="CA12" s="151">
        <f t="shared" si="12"/>
        <v>0</v>
      </c>
      <c r="CB12" s="151">
        <f t="shared" si="12"/>
        <v>0</v>
      </c>
      <c r="CC12" s="151">
        <f t="shared" si="12"/>
        <v>0</v>
      </c>
      <c r="CD12" s="152">
        <f t="shared" si="17"/>
        <v>0</v>
      </c>
      <c r="CE12" s="1">
        <f t="shared" si="18"/>
        <v>0</v>
      </c>
      <c r="CF12" s="143">
        <f t="shared" si="19"/>
        <v>15</v>
      </c>
      <c r="CG12" s="143">
        <f aca="true" t="shared" si="31" ref="CG12:CG17">IF(AI12=5,IF(CJ12&gt;=CD12,AH12/2000,1),1)</f>
        <v>1</v>
      </c>
      <c r="CH12" s="143">
        <f aca="true" t="shared" si="32" ref="CH12:CH17">IF(CJ12&gt;=CD12,0,IF((IF(AI12=5,IF(AH12&lt;1300,(POWER(2.71828,(1300-AH12)/150))-1,0),0))&gt;150,150,IF(AI12=5,IF(AH12&lt;1300,(POWER(2.71828,(1300-AH12)/150))-1,0),0)))</f>
        <v>0</v>
      </c>
      <c r="CI12" s="143">
        <f t="shared" si="22"/>
        <v>15</v>
      </c>
      <c r="CJ12" s="1">
        <f t="shared" si="23"/>
        <v>0</v>
      </c>
      <c r="CK12" s="5">
        <f t="shared" si="24"/>
        <v>0</v>
      </c>
    </row>
    <row r="13" spans="2:89" ht="19.5" customHeight="1">
      <c r="B13" s="42">
        <f>IF(AND(D12=D13,E12=E13,F12=F13),"","9.")</f>
      </c>
      <c r="C13" s="45" t="str">
        <f t="shared" si="25"/>
        <v>Spieler 9</v>
      </c>
      <c r="D13" s="44">
        <f t="shared" si="26"/>
        <v>0</v>
      </c>
      <c r="E13" s="55">
        <f t="shared" si="27"/>
      </c>
      <c r="F13" s="59" t="str">
        <f t="shared" si="28"/>
        <v> </v>
      </c>
      <c r="I13" s="42">
        <f t="shared" si="29"/>
        <v>9</v>
      </c>
      <c r="J13" s="43" t="str">
        <f>'Kreuztabelle 14'!C33</f>
        <v>Spieler 9</v>
      </c>
      <c r="K13" s="44">
        <f>IF(COUNT('Kreuztabelle 14'!D33:'Kreuztabelle 14'!Q33)&gt;0,COUNT('Kreuztabelle 14'!D33:'Kreuztabelle 14'!Q33),0)</f>
        <v>0</v>
      </c>
      <c r="L13" s="55">
        <f>'Kreuztabelle 14'!S33</f>
      </c>
      <c r="M13" s="59" t="str">
        <f>'Kreuztabelle 14'!R33</f>
        <v> </v>
      </c>
      <c r="N13">
        <f>IF(M13=" ",0.06,M13*100000+L13*1000-K13+0.06)</f>
        <v>0.06</v>
      </c>
      <c r="O13" s="62">
        <f t="shared" si="13"/>
        <v>14</v>
      </c>
      <c r="P13" s="62" t="e">
        <f>IF(AND(D12=D13,E12=E13,F12=F13),P12,9)</f>
        <v>#VALUE!</v>
      </c>
      <c r="Q13" s="61" t="e">
        <f t="shared" si="30"/>
        <v>#VALUE!</v>
      </c>
      <c r="R13" s="61" t="str">
        <f t="shared" si="14"/>
        <v> </v>
      </c>
      <c r="T13" s="1">
        <v>9</v>
      </c>
      <c r="AA13" t="str">
        <f>Eingabe!C15</f>
        <v>Spieler 10</v>
      </c>
      <c r="AB13" s="1">
        <f>IF(Eingabe!E15=" ",0,Eingabe!E15)</f>
        <v>0</v>
      </c>
      <c r="AC13" s="1">
        <f>IF(Eingabe!D15=5,5,IF(Eingabe!D15=10,10,15))</f>
        <v>15</v>
      </c>
      <c r="AD13" s="149">
        <f>$AB$8</f>
        <v>0</v>
      </c>
      <c r="AE13" s="3">
        <f>$AB$6</f>
        <v>0</v>
      </c>
      <c r="AF13" s="3">
        <f>$AB$4</f>
        <v>0</v>
      </c>
      <c r="AG13" s="3">
        <f>$AB$15</f>
        <v>0</v>
      </c>
      <c r="AH13" s="3">
        <f>$AB$17</f>
        <v>0</v>
      </c>
      <c r="AI13" s="3">
        <f>$AB$11</f>
        <v>0</v>
      </c>
      <c r="AJ13" s="3">
        <f>$AB$9</f>
        <v>0</v>
      </c>
      <c r="AK13" s="3">
        <f>$AB$7</f>
        <v>0</v>
      </c>
      <c r="AL13" s="3">
        <f>$AB$5</f>
        <v>0</v>
      </c>
      <c r="AM13" s="3">
        <f>$AB$16</f>
        <v>0</v>
      </c>
      <c r="AN13" s="3">
        <f>$AB$14</f>
        <v>0</v>
      </c>
      <c r="AO13" s="3">
        <f>$AB$12</f>
        <v>0</v>
      </c>
      <c r="AP13" s="3">
        <f>$AB$10</f>
        <v>0</v>
      </c>
      <c r="AQ13" s="149" t="str">
        <f>'14 Spieler'!$G$16</f>
        <v> </v>
      </c>
      <c r="AR13" s="3" t="str">
        <f>'14 Spieler'!$O$15</f>
        <v> </v>
      </c>
      <c r="AS13" s="3" t="str">
        <f>'14 Spieler'!$W$14</f>
        <v> </v>
      </c>
      <c r="AT13" s="3" t="str">
        <f>'14 Spieler'!$AE$13</f>
        <v> </v>
      </c>
      <c r="AU13" s="3" t="str">
        <f>'14 Spieler'!$G$23</f>
        <v> </v>
      </c>
      <c r="AV13" s="3" t="str">
        <f>'14 Spieler'!$Q$24</f>
        <v> </v>
      </c>
      <c r="AW13" s="3" t="str">
        <f>'14 Spieler'!$Y$25</f>
        <v> </v>
      </c>
      <c r="AX13" s="3" t="str">
        <f>'14 Spieler'!$AG$26</f>
        <v> </v>
      </c>
      <c r="AY13" s="3" t="str">
        <f>'14 Spieler'!$I$38</f>
        <v> </v>
      </c>
      <c r="AZ13" s="3" t="str">
        <f>'14 Spieler'!$Q$39</f>
        <v> </v>
      </c>
      <c r="BA13" s="3" t="str">
        <f>'14 Spieler'!$Y$40</f>
        <v> </v>
      </c>
      <c r="BB13" s="3" t="str">
        <f>'14 Spieler'!$AE$40</f>
        <v> </v>
      </c>
      <c r="BC13" s="3" t="str">
        <f>'14 Spieler'!$G$50</f>
        <v> </v>
      </c>
      <c r="BD13" s="149" t="str">
        <f t="shared" si="15"/>
        <v> </v>
      </c>
      <c r="BE13" s="3" t="str">
        <f t="shared" si="0"/>
        <v> </v>
      </c>
      <c r="BF13" s="3" t="str">
        <f t="shared" si="1"/>
        <v> </v>
      </c>
      <c r="BG13" s="3" t="str">
        <f t="shared" si="2"/>
        <v> </v>
      </c>
      <c r="BH13" s="3" t="str">
        <f t="shared" si="3"/>
        <v> </v>
      </c>
      <c r="BI13" s="3" t="str">
        <f t="shared" si="4"/>
        <v> </v>
      </c>
      <c r="BJ13" s="3" t="str">
        <f t="shared" si="5"/>
        <v> </v>
      </c>
      <c r="BK13" s="3" t="str">
        <f t="shared" si="6"/>
        <v> </v>
      </c>
      <c r="BL13" s="3" t="str">
        <f t="shared" si="7"/>
        <v> </v>
      </c>
      <c r="BM13" s="3" t="str">
        <f t="shared" si="8"/>
        <v> </v>
      </c>
      <c r="BN13" s="3" t="str">
        <f t="shared" si="9"/>
        <v> </v>
      </c>
      <c r="BO13" s="3" t="str">
        <f t="shared" si="10"/>
        <v> </v>
      </c>
      <c r="BP13" s="3" t="str">
        <f t="shared" si="11"/>
        <v> </v>
      </c>
      <c r="BQ13" s="150">
        <f t="shared" si="16"/>
        <v>0</v>
      </c>
      <c r="BR13" s="151">
        <f t="shared" si="12"/>
        <v>0</v>
      </c>
      <c r="BS13" s="151">
        <f t="shared" si="12"/>
        <v>0</v>
      </c>
      <c r="BT13" s="151">
        <f t="shared" si="12"/>
        <v>0</v>
      </c>
      <c r="BU13" s="151">
        <f t="shared" si="12"/>
        <v>0</v>
      </c>
      <c r="BV13" s="151">
        <f t="shared" si="12"/>
        <v>0</v>
      </c>
      <c r="BW13" s="151">
        <f t="shared" si="12"/>
        <v>0</v>
      </c>
      <c r="BX13" s="151">
        <f t="shared" si="12"/>
        <v>0</v>
      </c>
      <c r="BY13" s="151">
        <f t="shared" si="12"/>
        <v>0</v>
      </c>
      <c r="BZ13" s="151">
        <f t="shared" si="12"/>
        <v>0</v>
      </c>
      <c r="CA13" s="151">
        <f t="shared" si="12"/>
        <v>0</v>
      </c>
      <c r="CB13" s="151">
        <f t="shared" si="12"/>
        <v>0</v>
      </c>
      <c r="CC13" s="151">
        <f t="shared" si="12"/>
        <v>0</v>
      </c>
      <c r="CD13" s="152">
        <f t="shared" si="17"/>
        <v>0</v>
      </c>
      <c r="CE13" s="1">
        <f t="shared" si="18"/>
        <v>0</v>
      </c>
      <c r="CF13" s="143">
        <f t="shared" si="19"/>
        <v>15</v>
      </c>
      <c r="CG13" s="143">
        <f t="shared" si="31"/>
        <v>1</v>
      </c>
      <c r="CH13" s="143">
        <f t="shared" si="32"/>
        <v>0</v>
      </c>
      <c r="CI13" s="143">
        <f t="shared" si="22"/>
        <v>15</v>
      </c>
      <c r="CJ13" s="1">
        <f t="shared" si="23"/>
        <v>0</v>
      </c>
      <c r="CK13" s="5">
        <f t="shared" si="24"/>
        <v>0</v>
      </c>
    </row>
    <row r="14" spans="2:89" ht="19.5" customHeight="1">
      <c r="B14" s="42">
        <f>IF(AND(D13=D14,E13=E14,F13=F14),"","10.")</f>
      </c>
      <c r="C14" s="43" t="str">
        <f t="shared" si="25"/>
        <v>Spieler 10</v>
      </c>
      <c r="D14" s="44">
        <f t="shared" si="26"/>
        <v>0</v>
      </c>
      <c r="E14" s="55">
        <f t="shared" si="27"/>
      </c>
      <c r="F14" s="59" t="str">
        <f t="shared" si="28"/>
        <v> </v>
      </c>
      <c r="I14" s="42">
        <f t="shared" si="29"/>
        <v>10</v>
      </c>
      <c r="J14" s="43" t="str">
        <f>'Kreuztabelle 14'!C34</f>
        <v>Spieler 10</v>
      </c>
      <c r="K14" s="44">
        <f>IF(COUNT('Kreuztabelle 14'!D34:'Kreuztabelle 14'!Q34)&gt;0,COUNT('Kreuztabelle 14'!D34:'Kreuztabelle 14'!Q34),0)</f>
        <v>0</v>
      </c>
      <c r="L14" s="55">
        <f>'Kreuztabelle 14'!S34</f>
      </c>
      <c r="M14" s="59" t="str">
        <f>'Kreuztabelle 14'!R34</f>
        <v> </v>
      </c>
      <c r="N14">
        <f>IF(M14=" ",0.05,M14*100000+L14*1000-K14+0.05)</f>
        <v>0.05</v>
      </c>
      <c r="O14" s="62">
        <f t="shared" si="13"/>
        <v>14</v>
      </c>
      <c r="P14" s="62" t="e">
        <f>IF(AND(D13=D14,E13=E14,F13=F14),P13,10)</f>
        <v>#VALUE!</v>
      </c>
      <c r="Q14" s="61" t="e">
        <f t="shared" si="30"/>
        <v>#VALUE!</v>
      </c>
      <c r="R14" s="61" t="str">
        <f t="shared" si="14"/>
        <v> </v>
      </c>
      <c r="T14" s="1">
        <v>10</v>
      </c>
      <c r="AA14" t="str">
        <f>Eingabe!G6</f>
        <v>Spieler 11</v>
      </c>
      <c r="AB14" s="1">
        <f>IF(Eingabe!I6=" ",0,Eingabe!I6)</f>
        <v>0</v>
      </c>
      <c r="AC14" s="1">
        <f>IF(Eingabe!H6=5,5,IF(Eingabe!H6=10,10,15))</f>
        <v>15</v>
      </c>
      <c r="AD14" s="149">
        <f>$AB$7</f>
        <v>0</v>
      </c>
      <c r="AE14" s="3">
        <f>$AB$5</f>
        <v>0</v>
      </c>
      <c r="AF14" s="3">
        <f>$AB$16</f>
        <v>0</v>
      </c>
      <c r="AG14" s="3">
        <f>$AB$17</f>
        <v>0</v>
      </c>
      <c r="AH14" s="3">
        <f>$AB$12</f>
        <v>0</v>
      </c>
      <c r="AI14" s="3">
        <f>$AB$10</f>
        <v>0</v>
      </c>
      <c r="AJ14" s="3">
        <f>$AB$8</f>
        <v>0</v>
      </c>
      <c r="AK14" s="3">
        <f>$AB$6</f>
        <v>0</v>
      </c>
      <c r="AL14" s="3">
        <f>$AB$4</f>
        <v>0</v>
      </c>
      <c r="AM14" s="3">
        <f>$AB$15</f>
        <v>0</v>
      </c>
      <c r="AN14" s="3">
        <f>$AB$13</f>
        <v>0</v>
      </c>
      <c r="AO14" s="3">
        <f>$AB$11</f>
        <v>0</v>
      </c>
      <c r="AP14" s="3">
        <f>$AB$9</f>
        <v>0</v>
      </c>
      <c r="AQ14" s="149" t="str">
        <f>'14 Spieler'!$G$15</f>
        <v> </v>
      </c>
      <c r="AR14" s="3" t="str">
        <f>'14 Spieler'!$O$14</f>
        <v> </v>
      </c>
      <c r="AS14" s="3" t="str">
        <f>'14 Spieler'!$W$13</f>
        <v> </v>
      </c>
      <c r="AT14" s="3" t="str">
        <f>'14 Spieler'!$AE$12</f>
        <v> </v>
      </c>
      <c r="AU14" s="3" t="str">
        <f>'14 Spieler'!$I$24</f>
        <v> </v>
      </c>
      <c r="AV14" s="3" t="str">
        <f>'14 Spieler'!$Q$25</f>
        <v> </v>
      </c>
      <c r="AW14" s="3" t="str">
        <f>'14 Spieler'!$Y$26</f>
        <v> </v>
      </c>
      <c r="AX14" s="3" t="str">
        <f>'14 Spieler'!$AG$27</f>
        <v> </v>
      </c>
      <c r="AY14" s="3" t="str">
        <f>'14 Spieler'!$I$39</f>
        <v> </v>
      </c>
      <c r="AZ14" s="3" t="str">
        <f>'14 Spieler'!$Q$40</f>
        <v> </v>
      </c>
      <c r="BA14" s="3" t="str">
        <f>'14 Spieler'!$W$40</f>
        <v> </v>
      </c>
      <c r="BB14" s="3" t="str">
        <f>'14 Spieler'!$AE$39</f>
        <v> </v>
      </c>
      <c r="BC14" s="3" t="str">
        <f>'14 Spieler'!$G$49</f>
        <v> </v>
      </c>
      <c r="BD14" s="149" t="str">
        <f t="shared" si="15"/>
        <v> </v>
      </c>
      <c r="BE14" s="3" t="str">
        <f t="shared" si="0"/>
        <v> </v>
      </c>
      <c r="BF14" s="3" t="str">
        <f t="shared" si="1"/>
        <v> </v>
      </c>
      <c r="BG14" s="3" t="str">
        <f t="shared" si="2"/>
        <v> </v>
      </c>
      <c r="BH14" s="3" t="str">
        <f t="shared" si="3"/>
        <v> </v>
      </c>
      <c r="BI14" s="3" t="str">
        <f t="shared" si="4"/>
        <v> </v>
      </c>
      <c r="BJ14" s="3" t="str">
        <f t="shared" si="5"/>
        <v> </v>
      </c>
      <c r="BK14" s="3" t="str">
        <f t="shared" si="6"/>
        <v> </v>
      </c>
      <c r="BL14" s="3" t="str">
        <f t="shared" si="7"/>
        <v> </v>
      </c>
      <c r="BM14" s="3" t="str">
        <f t="shared" si="8"/>
        <v> </v>
      </c>
      <c r="BN14" s="3" t="str">
        <f t="shared" si="9"/>
        <v> </v>
      </c>
      <c r="BO14" s="3" t="str">
        <f t="shared" si="10"/>
        <v> </v>
      </c>
      <c r="BP14" s="3" t="str">
        <f t="shared" si="11"/>
        <v> </v>
      </c>
      <c r="BQ14" s="150">
        <f t="shared" si="16"/>
        <v>0</v>
      </c>
      <c r="BR14" s="151">
        <f t="shared" si="12"/>
        <v>0</v>
      </c>
      <c r="BS14" s="151">
        <f t="shared" si="12"/>
        <v>0</v>
      </c>
      <c r="BT14" s="151">
        <f t="shared" si="12"/>
        <v>0</v>
      </c>
      <c r="BU14" s="151">
        <f t="shared" si="12"/>
        <v>0</v>
      </c>
      <c r="BV14" s="151">
        <f t="shared" si="12"/>
        <v>0</v>
      </c>
      <c r="BW14" s="151">
        <f t="shared" si="12"/>
        <v>0</v>
      </c>
      <c r="BX14" s="151">
        <f t="shared" si="12"/>
        <v>0</v>
      </c>
      <c r="BY14" s="151">
        <f t="shared" si="12"/>
        <v>0</v>
      </c>
      <c r="BZ14" s="151">
        <f t="shared" si="12"/>
        <v>0</v>
      </c>
      <c r="CA14" s="151">
        <f t="shared" si="12"/>
        <v>0</v>
      </c>
      <c r="CB14" s="151">
        <f t="shared" si="12"/>
        <v>0</v>
      </c>
      <c r="CC14" s="151">
        <f t="shared" si="12"/>
        <v>0</v>
      </c>
      <c r="CD14" s="152">
        <f t="shared" si="17"/>
        <v>0</v>
      </c>
      <c r="CE14" s="1">
        <f t="shared" si="18"/>
        <v>0</v>
      </c>
      <c r="CF14" s="143">
        <f>POWER((AB14/1000),4)+AC14</f>
        <v>15</v>
      </c>
      <c r="CG14" s="143">
        <f t="shared" si="31"/>
        <v>1</v>
      </c>
      <c r="CH14" s="143">
        <f t="shared" si="32"/>
        <v>0</v>
      </c>
      <c r="CI14" s="143">
        <f t="shared" si="22"/>
        <v>15</v>
      </c>
      <c r="CJ14" s="1">
        <f t="shared" si="23"/>
        <v>0</v>
      </c>
      <c r="CK14" s="5">
        <f>IF(AB14=0,0,IF(CE14=0,AB14,ROUND(AB14+800*(CJ14-CD14)/(CI14+CE14),0)))</f>
        <v>0</v>
      </c>
    </row>
    <row r="15" spans="2:89" ht="19.5" customHeight="1">
      <c r="B15" s="42">
        <f>IF(AND(D14=D15,E14=E15,F14=F15),"","11.")</f>
      </c>
      <c r="C15" s="43" t="str">
        <f t="shared" si="25"/>
        <v>Spieler 11</v>
      </c>
      <c r="D15" s="44">
        <f t="shared" si="26"/>
        <v>0</v>
      </c>
      <c r="E15" s="55">
        <f t="shared" si="27"/>
      </c>
      <c r="F15" s="59" t="str">
        <f t="shared" si="28"/>
        <v> </v>
      </c>
      <c r="I15" s="42">
        <f t="shared" si="29"/>
        <v>11</v>
      </c>
      <c r="J15" s="43" t="str">
        <f>'Kreuztabelle 14'!C35</f>
        <v>Spieler 11</v>
      </c>
      <c r="K15" s="44">
        <f>IF(COUNT('Kreuztabelle 14'!D35:'Kreuztabelle 14'!Q35)&gt;0,COUNT('Kreuztabelle 14'!D35:'Kreuztabelle 14'!Q35),0)</f>
        <v>0</v>
      </c>
      <c r="L15" s="55">
        <f>'Kreuztabelle 14'!S35</f>
      </c>
      <c r="M15" s="59" t="str">
        <f>'Kreuztabelle 14'!R35</f>
        <v> </v>
      </c>
      <c r="N15">
        <f>IF(M15=" ",0.04,M15*100000+L15*1000-K15+0.04)</f>
        <v>0.04</v>
      </c>
      <c r="O15" s="62">
        <f t="shared" si="13"/>
        <v>14</v>
      </c>
      <c r="P15" s="62" t="e">
        <f>IF(AND(D14=D15,E14=E15,F14=F15),P14,11)</f>
        <v>#VALUE!</v>
      </c>
      <c r="Q15" s="61" t="e">
        <f t="shared" si="30"/>
        <v>#VALUE!</v>
      </c>
      <c r="R15" s="61" t="str">
        <f t="shared" si="14"/>
        <v> </v>
      </c>
      <c r="T15" s="1">
        <v>11</v>
      </c>
      <c r="AA15" t="str">
        <f>Eingabe!G7</f>
        <v>Spieler 12</v>
      </c>
      <c r="AB15" s="1">
        <f>IF(Eingabe!I7=" ",0,Eingabe!I7)</f>
        <v>0</v>
      </c>
      <c r="AC15" s="1">
        <f>IF(Eingabe!H7=5,5,IF(Eingabe!H7=10,10,15))</f>
        <v>15</v>
      </c>
      <c r="AD15" s="149">
        <f>$AB$6</f>
        <v>0</v>
      </c>
      <c r="AE15" s="3">
        <f>$AB$4</f>
        <v>0</v>
      </c>
      <c r="AF15" s="3">
        <f>$AB$17</f>
        <v>0</v>
      </c>
      <c r="AG15" s="3">
        <f>$AB$13</f>
        <v>0</v>
      </c>
      <c r="AH15" s="3">
        <f>$AB$11</f>
        <v>0</v>
      </c>
      <c r="AI15" s="3">
        <f>$AB$9</f>
        <v>0</v>
      </c>
      <c r="AJ15" s="3">
        <f>$AB$7</f>
        <v>0</v>
      </c>
      <c r="AK15" s="3">
        <f>$AB$5</f>
        <v>0</v>
      </c>
      <c r="AL15" s="3">
        <f>$AB$16</f>
        <v>0</v>
      </c>
      <c r="AM15" s="3">
        <f>$AB$14</f>
        <v>0</v>
      </c>
      <c r="AN15" s="3">
        <f>$AB$12</f>
        <v>0</v>
      </c>
      <c r="AO15" s="3">
        <f>$AB$10</f>
        <v>0</v>
      </c>
      <c r="AP15" s="3">
        <f>$AB$8</f>
        <v>0</v>
      </c>
      <c r="AQ15" s="149" t="str">
        <f>'14 Spieler'!$G$14</f>
        <v> </v>
      </c>
      <c r="AR15" s="3" t="str">
        <f>'14 Spieler'!$O$13</f>
        <v> </v>
      </c>
      <c r="AS15" s="3" t="str">
        <f>'14 Spieler'!$W$12</f>
        <v> </v>
      </c>
      <c r="AT15" s="3" t="str">
        <f>'14 Spieler'!$AG$13</f>
        <v> </v>
      </c>
      <c r="AU15" s="3" t="str">
        <f>'14 Spieler'!$I$25</f>
        <v> </v>
      </c>
      <c r="AV15" s="3" t="str">
        <f>'14 Spieler'!$Q$26</f>
        <v> </v>
      </c>
      <c r="AW15" s="3" t="str">
        <f>'14 Spieler'!$Y$27</f>
        <v> </v>
      </c>
      <c r="AX15" s="3" t="str">
        <f>'14 Spieler'!$AG$28</f>
        <v> </v>
      </c>
      <c r="AY15" s="3" t="str">
        <f>'14 Spieler'!$I$40</f>
        <v> </v>
      </c>
      <c r="AZ15" s="3" t="str">
        <f>'14 Spieler'!$O$40</f>
        <v> </v>
      </c>
      <c r="BA15" s="3" t="str">
        <f>'14 Spieler'!$W$39</f>
        <v> </v>
      </c>
      <c r="BB15" s="3" t="str">
        <f>'14 Spieler'!$AE$38</f>
        <v> </v>
      </c>
      <c r="BC15" s="3" t="str">
        <f>'14 Spieler'!$G$48</f>
        <v> </v>
      </c>
      <c r="BD15" s="149" t="str">
        <f t="shared" si="15"/>
        <v> </v>
      </c>
      <c r="BE15" s="3" t="str">
        <f t="shared" si="0"/>
        <v> </v>
      </c>
      <c r="BF15" s="3" t="str">
        <f t="shared" si="1"/>
        <v> </v>
      </c>
      <c r="BG15" s="3" t="str">
        <f t="shared" si="2"/>
        <v> </v>
      </c>
      <c r="BH15" s="3" t="str">
        <f t="shared" si="3"/>
        <v> </v>
      </c>
      <c r="BI15" s="3" t="str">
        <f t="shared" si="4"/>
        <v> </v>
      </c>
      <c r="BJ15" s="3" t="str">
        <f t="shared" si="5"/>
        <v> </v>
      </c>
      <c r="BK15" s="3" t="str">
        <f t="shared" si="6"/>
        <v> </v>
      </c>
      <c r="BL15" s="3" t="str">
        <f t="shared" si="7"/>
        <v> </v>
      </c>
      <c r="BM15" s="3" t="str">
        <f t="shared" si="8"/>
        <v> </v>
      </c>
      <c r="BN15" s="3" t="str">
        <f t="shared" si="9"/>
        <v> </v>
      </c>
      <c r="BO15" s="3" t="str">
        <f t="shared" si="10"/>
        <v> </v>
      </c>
      <c r="BP15" s="3" t="str">
        <f t="shared" si="11"/>
        <v> </v>
      </c>
      <c r="BQ15" s="150">
        <f t="shared" si="16"/>
        <v>0</v>
      </c>
      <c r="BR15" s="151">
        <f t="shared" si="12"/>
        <v>0</v>
      </c>
      <c r="BS15" s="151">
        <f t="shared" si="12"/>
        <v>0</v>
      </c>
      <c r="BT15" s="151">
        <f t="shared" si="12"/>
        <v>0</v>
      </c>
      <c r="BU15" s="151">
        <f t="shared" si="12"/>
        <v>0</v>
      </c>
      <c r="BV15" s="151">
        <f t="shared" si="12"/>
        <v>0</v>
      </c>
      <c r="BW15" s="151">
        <f t="shared" si="12"/>
        <v>0</v>
      </c>
      <c r="BX15" s="151">
        <f t="shared" si="12"/>
        <v>0</v>
      </c>
      <c r="BY15" s="151">
        <f t="shared" si="12"/>
        <v>0</v>
      </c>
      <c r="BZ15" s="151">
        <f t="shared" si="12"/>
        <v>0</v>
      </c>
      <c r="CA15" s="151">
        <f t="shared" si="12"/>
        <v>0</v>
      </c>
      <c r="CB15" s="151">
        <f t="shared" si="12"/>
        <v>0</v>
      </c>
      <c r="CC15" s="151">
        <f t="shared" si="12"/>
        <v>0</v>
      </c>
      <c r="CD15" s="152">
        <f t="shared" si="17"/>
        <v>0</v>
      </c>
      <c r="CE15" s="1">
        <f t="shared" si="18"/>
        <v>0</v>
      </c>
      <c r="CF15" s="143">
        <f>POWER((AB15/1000),4)+AC15</f>
        <v>15</v>
      </c>
      <c r="CG15" s="143">
        <f t="shared" si="31"/>
        <v>1</v>
      </c>
      <c r="CH15" s="143">
        <f t="shared" si="32"/>
        <v>0</v>
      </c>
      <c r="CI15" s="143">
        <f t="shared" si="22"/>
        <v>15</v>
      </c>
      <c r="CJ15" s="1">
        <f t="shared" si="23"/>
        <v>0</v>
      </c>
      <c r="CK15" s="5">
        <f>IF(AB15=0,0,IF(CE15=0,AB15,ROUND(AB15+800*(CJ15-CD15)/(CI15+CE15),0)))</f>
        <v>0</v>
      </c>
    </row>
    <row r="16" spans="1:89" ht="19.5" customHeight="1">
      <c r="A16" s="2"/>
      <c r="B16" s="42">
        <f>IF(AND(D15=D16,E15=E16,F15=F16),"","12.")</f>
      </c>
      <c r="C16" s="43" t="str">
        <f t="shared" si="25"/>
        <v>Spieler 12</v>
      </c>
      <c r="D16" s="44">
        <f t="shared" si="26"/>
        <v>0</v>
      </c>
      <c r="E16" s="55">
        <f t="shared" si="27"/>
      </c>
      <c r="F16" s="59" t="str">
        <f t="shared" si="28"/>
        <v> </v>
      </c>
      <c r="I16" s="42">
        <f t="shared" si="29"/>
        <v>12</v>
      </c>
      <c r="J16" s="43" t="str">
        <f>'Kreuztabelle 14'!C36</f>
        <v>Spieler 12</v>
      </c>
      <c r="K16" s="44">
        <f>IF(COUNT('Kreuztabelle 14'!D36:'Kreuztabelle 14'!Q36)&gt;0,COUNT('Kreuztabelle 14'!D36:'Kreuztabelle 14'!Q36),0)</f>
        <v>0</v>
      </c>
      <c r="L16" s="55">
        <f>'Kreuztabelle 14'!S36</f>
      </c>
      <c r="M16" s="59" t="str">
        <f>'Kreuztabelle 14'!R36</f>
        <v> </v>
      </c>
      <c r="N16">
        <f>IF(M16=" ",0.03,M16*100000+L16*1000-K16+0.03)</f>
        <v>0.03</v>
      </c>
      <c r="O16" s="62">
        <f t="shared" si="13"/>
        <v>14</v>
      </c>
      <c r="P16" s="62" t="e">
        <f>IF(AND(D15=D16,E15=E16,F15=F16),P15,12)</f>
        <v>#VALUE!</v>
      </c>
      <c r="Q16" s="61" t="e">
        <f t="shared" si="30"/>
        <v>#VALUE!</v>
      </c>
      <c r="R16" s="61" t="str">
        <f t="shared" si="14"/>
        <v> </v>
      </c>
      <c r="T16" s="1">
        <v>12</v>
      </c>
      <c r="AA16" t="str">
        <f>Eingabe!G8</f>
        <v>Spieler 13</v>
      </c>
      <c r="AB16" s="1">
        <f>IF(Eingabe!I8=" ",0,Eingabe!I8)</f>
        <v>0</v>
      </c>
      <c r="AC16" s="1">
        <f>IF(Eingabe!H8=5,5,IF(Eingabe!H8=10,10,15))</f>
        <v>15</v>
      </c>
      <c r="AD16" s="149">
        <f>$AB$5</f>
        <v>0</v>
      </c>
      <c r="AE16" s="3">
        <f>$AB$17</f>
        <v>0</v>
      </c>
      <c r="AF16" s="3">
        <f>$AB$14</f>
        <v>0</v>
      </c>
      <c r="AG16" s="3">
        <f>$AB$12</f>
        <v>0</v>
      </c>
      <c r="AH16" s="3">
        <f>$AB$10</f>
        <v>0</v>
      </c>
      <c r="AI16" s="3">
        <f>$AB$8</f>
        <v>0</v>
      </c>
      <c r="AJ16" s="3">
        <f>$AB$6</f>
        <v>0</v>
      </c>
      <c r="AK16" s="3">
        <f>$AB$4</f>
        <v>0</v>
      </c>
      <c r="AL16" s="3">
        <f>$AB$15</f>
        <v>0</v>
      </c>
      <c r="AM16" s="3">
        <f>$AB$13</f>
        <v>0</v>
      </c>
      <c r="AN16" s="3">
        <f>$AB$11</f>
        <v>0</v>
      </c>
      <c r="AO16" s="3">
        <f>$AB$9</f>
        <v>0</v>
      </c>
      <c r="AP16" s="3">
        <f>$AB$7</f>
        <v>0</v>
      </c>
      <c r="AQ16" s="149" t="str">
        <f>'14 Spieler'!$G$13</f>
        <v> </v>
      </c>
      <c r="AR16" s="3" t="str">
        <f>'14 Spieler'!$O$12</f>
        <v> </v>
      </c>
      <c r="AS16" s="3" t="str">
        <f>'14 Spieler'!$Y$13</f>
        <v> </v>
      </c>
      <c r="AT16" s="3" t="str">
        <f>'14 Spieler'!$AG$14</f>
        <v> </v>
      </c>
      <c r="AU16" s="3" t="str">
        <f>'14 Spieler'!$I$26</f>
        <v> </v>
      </c>
      <c r="AV16" s="3" t="str">
        <f>'14 Spieler'!$Q$27</f>
        <v> </v>
      </c>
      <c r="AW16" s="3" t="str">
        <f>'14 Spieler'!$Y$28</f>
        <v> </v>
      </c>
      <c r="AX16" s="3" t="str">
        <f>'14 Spieler'!$AG$29</f>
        <v> </v>
      </c>
      <c r="AY16" s="3" t="str">
        <f>'14 Spieler'!$G$40</f>
        <v> </v>
      </c>
      <c r="AZ16" s="3" t="str">
        <f>'14 Spieler'!$O$39</f>
        <v> </v>
      </c>
      <c r="BA16" s="3" t="str">
        <f>'14 Spieler'!$W$38</f>
        <v> </v>
      </c>
      <c r="BB16" s="3" t="str">
        <f>'14 Spieler'!$AE$37</f>
        <v> </v>
      </c>
      <c r="BC16" s="3" t="str">
        <f>'14 Spieler'!$G$47</f>
        <v> </v>
      </c>
      <c r="BD16" s="149" t="str">
        <f t="shared" si="15"/>
        <v> </v>
      </c>
      <c r="BE16" s="3" t="str">
        <f t="shared" si="0"/>
        <v> </v>
      </c>
      <c r="BF16" s="3" t="str">
        <f t="shared" si="1"/>
        <v> </v>
      </c>
      <c r="BG16" s="3" t="str">
        <f t="shared" si="2"/>
        <v> </v>
      </c>
      <c r="BH16" s="3" t="str">
        <f t="shared" si="3"/>
        <v> </v>
      </c>
      <c r="BI16" s="3" t="str">
        <f t="shared" si="4"/>
        <v> </v>
      </c>
      <c r="BJ16" s="3" t="str">
        <f t="shared" si="5"/>
        <v> </v>
      </c>
      <c r="BK16" s="3" t="str">
        <f t="shared" si="6"/>
        <v> </v>
      </c>
      <c r="BL16" s="3" t="str">
        <f t="shared" si="7"/>
        <v> </v>
      </c>
      <c r="BM16" s="3" t="str">
        <f t="shared" si="8"/>
        <v> </v>
      </c>
      <c r="BN16" s="3" t="str">
        <f t="shared" si="9"/>
        <v> </v>
      </c>
      <c r="BO16" s="3" t="str">
        <f t="shared" si="10"/>
        <v> </v>
      </c>
      <c r="BP16" s="3" t="str">
        <f t="shared" si="11"/>
        <v> </v>
      </c>
      <c r="BQ16" s="150">
        <f aca="true" t="shared" si="33" ref="BQ16:CC17">IF(BD16=" ",0,ROUND(1/(1+(POWER(10,(-1*($AB16-AD16)/400)))),3))</f>
        <v>0</v>
      </c>
      <c r="BR16" s="151">
        <f t="shared" si="33"/>
        <v>0</v>
      </c>
      <c r="BS16" s="151">
        <f t="shared" si="33"/>
        <v>0</v>
      </c>
      <c r="BT16" s="151">
        <f t="shared" si="33"/>
        <v>0</v>
      </c>
      <c r="BU16" s="151">
        <f t="shared" si="33"/>
        <v>0</v>
      </c>
      <c r="BV16" s="151">
        <f t="shared" si="33"/>
        <v>0</v>
      </c>
      <c r="BW16" s="151">
        <f t="shared" si="33"/>
        <v>0</v>
      </c>
      <c r="BX16" s="151">
        <f t="shared" si="33"/>
        <v>0</v>
      </c>
      <c r="BY16" s="151">
        <f t="shared" si="33"/>
        <v>0</v>
      </c>
      <c r="BZ16" s="151">
        <f t="shared" si="33"/>
        <v>0</v>
      </c>
      <c r="CA16" s="151">
        <f t="shared" si="33"/>
        <v>0</v>
      </c>
      <c r="CB16" s="151">
        <f t="shared" si="33"/>
        <v>0</v>
      </c>
      <c r="CC16" s="151">
        <f t="shared" si="33"/>
        <v>0</v>
      </c>
      <c r="CD16" s="152">
        <f>SUM(BQ16:CC16)</f>
        <v>0</v>
      </c>
      <c r="CE16" s="1">
        <f>1*((COUNTIF(BD16:BP16,0))+(COUNTIF(BD16:BP16,0.5))+(COUNTIF(BD16:BP16,1)))</f>
        <v>0</v>
      </c>
      <c r="CF16" s="143">
        <f>POWER((AB16/1000),4)+AC16</f>
        <v>15</v>
      </c>
      <c r="CG16" s="143">
        <f t="shared" si="31"/>
        <v>1</v>
      </c>
      <c r="CH16" s="143">
        <f t="shared" si="32"/>
        <v>0</v>
      </c>
      <c r="CI16" s="143">
        <f t="shared" si="22"/>
        <v>15</v>
      </c>
      <c r="CJ16" s="1">
        <f>SUM(BD16:BP16)</f>
        <v>0</v>
      </c>
      <c r="CK16" s="5">
        <f>IF(AB16=0,0,IF(CE16=0,AB16,ROUND(AB16+800*(CJ16-CD16)/(CI16+CE16),0)))</f>
        <v>0</v>
      </c>
    </row>
    <row r="17" spans="1:89" ht="19.5" customHeight="1">
      <c r="A17" s="2"/>
      <c r="B17" s="42">
        <f>IF(AND(D16=D17,E16=E17,F16=F17),"","13.")</f>
      </c>
      <c r="C17" s="43" t="str">
        <f t="shared" si="25"/>
        <v>Spieler 13</v>
      </c>
      <c r="D17" s="44">
        <f t="shared" si="26"/>
        <v>0</v>
      </c>
      <c r="E17" s="55">
        <f t="shared" si="27"/>
      </c>
      <c r="F17" s="59" t="str">
        <f t="shared" si="28"/>
        <v> </v>
      </c>
      <c r="I17" s="42">
        <f t="shared" si="29"/>
        <v>13</v>
      </c>
      <c r="J17" s="43" t="str">
        <f>'Kreuztabelle 14'!C37</f>
        <v>Spieler 13</v>
      </c>
      <c r="K17" s="44">
        <f>IF(COUNT('Kreuztabelle 14'!D37:'Kreuztabelle 14'!Q37)&gt;0,COUNT('Kreuztabelle 14'!D37:'Kreuztabelle 14'!Q37),0)</f>
        <v>0</v>
      </c>
      <c r="L17" s="55">
        <f>'Kreuztabelle 14'!S37</f>
      </c>
      <c r="M17" s="59" t="str">
        <f>'Kreuztabelle 14'!R37</f>
        <v> </v>
      </c>
      <c r="N17">
        <f>IF(M17=" ",0.02,M17*100000+L17*1000-K17+0.02)</f>
        <v>0.02</v>
      </c>
      <c r="O17" s="62">
        <f t="shared" si="13"/>
        <v>14</v>
      </c>
      <c r="P17" s="62" t="e">
        <f>IF(AND(D16=D17,E16=E17,F16=F17),P16,13)</f>
        <v>#VALUE!</v>
      </c>
      <c r="Q17" s="61" t="e">
        <f t="shared" si="30"/>
        <v>#VALUE!</v>
      </c>
      <c r="R17" s="61" t="str">
        <f t="shared" si="14"/>
        <v> </v>
      </c>
      <c r="T17" s="1">
        <v>13</v>
      </c>
      <c r="AA17" t="str">
        <f>Eingabe!G9</f>
        <v>Spieler / spielfrei</v>
      </c>
      <c r="AB17" s="1">
        <f>IF(Eingabe!I9=" ",0,Eingabe!I9)</f>
        <v>0</v>
      </c>
      <c r="AC17" s="1">
        <f>IF(Eingabe!H9=5,5,IF(Eingabe!H9=10,10,15))</f>
        <v>15</v>
      </c>
      <c r="AD17" s="149">
        <f>$AB$4</f>
        <v>0</v>
      </c>
      <c r="AE17" s="3">
        <f>$AB$16</f>
        <v>0</v>
      </c>
      <c r="AF17" s="3">
        <f>$AB$15</f>
        <v>0</v>
      </c>
      <c r="AG17" s="3">
        <f>$AB$14</f>
        <v>0</v>
      </c>
      <c r="AH17" s="3">
        <f>$AB$13</f>
        <v>0</v>
      </c>
      <c r="AI17" s="3">
        <f>$AB$12</f>
        <v>0</v>
      </c>
      <c r="AJ17" s="3">
        <f>$AB$11</f>
        <v>0</v>
      </c>
      <c r="AK17" s="3">
        <f>$AB$10</f>
        <v>0</v>
      </c>
      <c r="AL17" s="3">
        <f>$AB$9</f>
        <v>0</v>
      </c>
      <c r="AM17" s="3">
        <f>$AB$8</f>
        <v>0</v>
      </c>
      <c r="AN17" s="3">
        <f>$AB$7</f>
        <v>0</v>
      </c>
      <c r="AO17" s="3">
        <f>$AB$6</f>
        <v>0</v>
      </c>
      <c r="AP17" s="3">
        <f>$AB$5</f>
        <v>0</v>
      </c>
      <c r="AQ17" s="149" t="str">
        <f>'14 Spieler'!$I$12</f>
        <v> </v>
      </c>
      <c r="AR17" s="3" t="str">
        <f>'14 Spieler'!$Q$12</f>
        <v> </v>
      </c>
      <c r="AS17" s="3" t="str">
        <f>'14 Spieler'!$Y$12</f>
        <v> </v>
      </c>
      <c r="AT17" s="3" t="str">
        <f>'14 Spieler'!$AG$12</f>
        <v> </v>
      </c>
      <c r="AU17" s="3" t="str">
        <f>'14 Spieler'!$I$23</f>
        <v> </v>
      </c>
      <c r="AV17" s="3" t="str">
        <f>'14 Spieler'!$Q$23</f>
        <v> </v>
      </c>
      <c r="AW17" s="3" t="str">
        <f>'14 Spieler'!$Y$23</f>
        <v> </v>
      </c>
      <c r="AX17" s="3" t="str">
        <f>'14 Spieler'!$AG$23</f>
        <v> </v>
      </c>
      <c r="AY17" s="3" t="str">
        <f>'14 Spieler'!$I$34</f>
        <v> </v>
      </c>
      <c r="AZ17" s="3" t="str">
        <f>'14 Spieler'!$Q$34</f>
        <v> </v>
      </c>
      <c r="BA17" s="3" t="str">
        <f>'14 Spieler'!$Y$34</f>
        <v> </v>
      </c>
      <c r="BB17" s="3" t="str">
        <f>'14 Spieler'!$AG$34</f>
        <v> </v>
      </c>
      <c r="BC17" s="3" t="str">
        <f>'14 Spieler'!$I$45</f>
        <v> </v>
      </c>
      <c r="BD17" s="149" t="str">
        <f t="shared" si="15"/>
        <v> </v>
      </c>
      <c r="BE17" s="3" t="str">
        <f t="shared" si="0"/>
        <v> </v>
      </c>
      <c r="BF17" s="3" t="str">
        <f t="shared" si="1"/>
        <v> </v>
      </c>
      <c r="BG17" s="3" t="str">
        <f t="shared" si="2"/>
        <v> </v>
      </c>
      <c r="BH17" s="3" t="str">
        <f t="shared" si="3"/>
        <v> </v>
      </c>
      <c r="BI17" s="3" t="str">
        <f t="shared" si="4"/>
        <v> </v>
      </c>
      <c r="BJ17" s="3" t="str">
        <f t="shared" si="5"/>
        <v> </v>
      </c>
      <c r="BK17" s="3" t="str">
        <f t="shared" si="6"/>
        <v> </v>
      </c>
      <c r="BL17" s="3" t="str">
        <f t="shared" si="7"/>
        <v> </v>
      </c>
      <c r="BM17" s="3" t="str">
        <f t="shared" si="8"/>
        <v> </v>
      </c>
      <c r="BN17" s="3" t="str">
        <f t="shared" si="9"/>
        <v> </v>
      </c>
      <c r="BO17" s="3" t="str">
        <f t="shared" si="10"/>
        <v> </v>
      </c>
      <c r="BP17" s="3" t="str">
        <f t="shared" si="11"/>
        <v> </v>
      </c>
      <c r="BQ17" s="150">
        <f t="shared" si="33"/>
        <v>0</v>
      </c>
      <c r="BR17" s="151">
        <f t="shared" si="33"/>
        <v>0</v>
      </c>
      <c r="BS17" s="151">
        <f t="shared" si="33"/>
        <v>0</v>
      </c>
      <c r="BT17" s="151">
        <f t="shared" si="33"/>
        <v>0</v>
      </c>
      <c r="BU17" s="151">
        <f t="shared" si="33"/>
        <v>0</v>
      </c>
      <c r="BV17" s="151">
        <f t="shared" si="33"/>
        <v>0</v>
      </c>
      <c r="BW17" s="151">
        <f t="shared" si="33"/>
        <v>0</v>
      </c>
      <c r="BX17" s="151">
        <f t="shared" si="33"/>
        <v>0</v>
      </c>
      <c r="BY17" s="151">
        <f t="shared" si="33"/>
        <v>0</v>
      </c>
      <c r="BZ17" s="151">
        <f t="shared" si="33"/>
        <v>0</v>
      </c>
      <c r="CA17" s="151">
        <f t="shared" si="33"/>
        <v>0</v>
      </c>
      <c r="CB17" s="151">
        <f t="shared" si="33"/>
        <v>0</v>
      </c>
      <c r="CC17" s="151">
        <f t="shared" si="33"/>
        <v>0</v>
      </c>
      <c r="CD17" s="152">
        <f>SUM(BQ17:CC17)</f>
        <v>0</v>
      </c>
      <c r="CE17" s="1">
        <f>1*((COUNTIF(BD17:BP17,0))+(COUNTIF(BD17:BP17,0.5))+(COUNTIF(BD17:BP17,1)))</f>
        <v>0</v>
      </c>
      <c r="CF17" s="143">
        <f>POWER((AB17/1000),4)+AC17</f>
        <v>15</v>
      </c>
      <c r="CG17" s="143">
        <f t="shared" si="31"/>
        <v>1</v>
      </c>
      <c r="CH17" s="143">
        <f t="shared" si="32"/>
        <v>0</v>
      </c>
      <c r="CI17" s="143">
        <f t="shared" si="22"/>
        <v>15</v>
      </c>
      <c r="CJ17" s="1">
        <f>SUM(BD17:BP17)</f>
        <v>0</v>
      </c>
      <c r="CK17" s="5">
        <f>IF(Eingabe!G9="spielfrei",-999,IF(AB17=0,0,IF(CE17=0,AB17,ROUND(AB17+800*(CJ17-CD17)/(CI17+CE17),0))))</f>
        <v>0</v>
      </c>
    </row>
    <row r="18" spans="1:89" ht="19.5" customHeight="1" thickBot="1">
      <c r="A18" s="2"/>
      <c r="B18" s="46">
        <f>IF(Eingabe!G9="spielfrei","",IF(AND(D17=D18,E17=E18,F17=F18),"","14."))</f>
      </c>
      <c r="C18" s="47" t="str">
        <f t="shared" si="25"/>
        <v>Spieler / spielfrei</v>
      </c>
      <c r="D18" s="48">
        <f t="shared" si="26"/>
        <v>0</v>
      </c>
      <c r="E18" s="56">
        <f t="shared" si="27"/>
      </c>
      <c r="F18" s="60" t="str">
        <f t="shared" si="28"/>
        <v> </v>
      </c>
      <c r="I18" s="46">
        <f t="shared" si="29"/>
        <v>14</v>
      </c>
      <c r="J18" s="47" t="str">
        <f>'Kreuztabelle 14'!C38</f>
        <v>Spieler / spielfrei</v>
      </c>
      <c r="K18" s="48">
        <f>IF(COUNT('Kreuztabelle 14'!D38:'Kreuztabelle 14'!Q38)&gt;0,COUNT('Kreuztabelle 14'!D38:'Kreuztabelle 14'!Q38),0)</f>
        <v>0</v>
      </c>
      <c r="L18" s="56">
        <f>IF(Eingabe!G9="spielfrei",-0.001,'Kreuztabelle 14'!S38)</f>
      </c>
      <c r="M18" s="60" t="str">
        <f>'Kreuztabelle 14'!R38</f>
        <v> </v>
      </c>
      <c r="N18">
        <f>IF(M18=" ",0.01,M18*100000+L18*1000-K18+0.01)</f>
        <v>0.01</v>
      </c>
      <c r="O18" s="62">
        <f t="shared" si="13"/>
        <v>14</v>
      </c>
      <c r="P18" s="62" t="e">
        <f>IF(AND(D17=D18,E17=E18,F17=F18),P17,14)</f>
        <v>#VALUE!</v>
      </c>
      <c r="Q18" s="61" t="e">
        <f t="shared" si="30"/>
        <v>#VALUE!</v>
      </c>
      <c r="R18" s="61" t="str">
        <f t="shared" si="14"/>
        <v> </v>
      </c>
      <c r="T18" s="1">
        <v>14</v>
      </c>
      <c r="AA18" s="153"/>
      <c r="AB18" s="154"/>
      <c r="AC18" s="154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</row>
    <row r="19" spans="1:10" ht="19.5" customHeight="1">
      <c r="A19" s="2"/>
      <c r="B19" s="2"/>
      <c r="C19" s="2"/>
      <c r="I19" s="2"/>
      <c r="J19" s="2"/>
    </row>
    <row r="20" ht="19.5" customHeight="1"/>
    <row r="21" spans="1:7" ht="19.5" customHeight="1" thickBot="1">
      <c r="A21" s="2"/>
      <c r="B21" s="41"/>
      <c r="C21" s="157"/>
      <c r="D21" s="41"/>
      <c r="E21" s="41"/>
      <c r="F21" s="41"/>
      <c r="G21" s="2"/>
    </row>
    <row r="22" spans="2:13" ht="19.5" customHeight="1">
      <c r="B22" s="36"/>
      <c r="C22" s="82" t="s">
        <v>72</v>
      </c>
      <c r="D22" s="38"/>
      <c r="E22" s="38"/>
      <c r="F22" s="39"/>
      <c r="I22" s="36"/>
      <c r="J22" s="37"/>
      <c r="K22" s="38"/>
      <c r="L22" s="38"/>
      <c r="M22" s="39"/>
    </row>
    <row r="23" spans="2:13" ht="19.5" customHeight="1">
      <c r="B23" s="40"/>
      <c r="C23" s="83" t="str">
        <f>J23</f>
        <v>Stand nach der 0. Runde</v>
      </c>
      <c r="D23" s="41"/>
      <c r="E23" s="156" t="s">
        <v>73</v>
      </c>
      <c r="F23" s="51" t="s">
        <v>74</v>
      </c>
      <c r="I23" s="40"/>
      <c r="J23" s="34" t="str">
        <f>IF(EXACT("spielfrei",Eingabe!G9)=TRUE,Q4,R4)</f>
        <v>Stand nach der 0. Runde</v>
      </c>
      <c r="K23" s="41"/>
      <c r="L23" s="156" t="s">
        <v>73</v>
      </c>
      <c r="M23" s="51" t="s">
        <v>74</v>
      </c>
    </row>
    <row r="24" spans="2:20" ht="19.5" customHeight="1">
      <c r="B24" s="42" t="str">
        <f>IF(SUM(E24:E37)=0," ","1.")</f>
        <v> </v>
      </c>
      <c r="C24" s="43" t="str">
        <f>VLOOKUP($T24,$I$24:$M$37,2,FALSE)</f>
        <v>Spieler 1</v>
      </c>
      <c r="D24" s="44">
        <f>VLOOKUP($T24,$I$24:$M$37,3,FALSE)</f>
        <v>0</v>
      </c>
      <c r="E24" s="159">
        <f>VLOOKUP($T24,$I$24:$M$37,4,FALSE)</f>
        <v>0</v>
      </c>
      <c r="F24" s="160">
        <f>VLOOKUP($T24,$I$24:$M$37,5,FALSE)</f>
        <v>0</v>
      </c>
      <c r="I24" s="42">
        <f>RANK(N24,$N$24:$N$37,0)</f>
        <v>1</v>
      </c>
      <c r="J24" s="43" t="str">
        <f>'Kreuztabelle 14'!C25</f>
        <v>Spieler 1</v>
      </c>
      <c r="K24" s="44">
        <f>IF(COUNT('Kreuztabelle 14'!D25:'Kreuztabelle 14'!Q25)&gt;0,COUNT('Kreuztabelle 14'!D25:'Kreuztabelle 14'!Q25),0)</f>
        <v>0</v>
      </c>
      <c r="L24" s="159">
        <f>CK4</f>
        <v>0</v>
      </c>
      <c r="M24" s="160">
        <f>CK4-AB4</f>
        <v>0</v>
      </c>
      <c r="N24">
        <f>IF(M24=" ",0.1,M24*10000+L24+0.2)</f>
        <v>0.2</v>
      </c>
      <c r="O24" s="158"/>
      <c r="P24" s="158"/>
      <c r="T24" s="1">
        <v>1</v>
      </c>
    </row>
    <row r="25" spans="2:20" ht="19.5" customHeight="1">
      <c r="B25" s="42">
        <f>IF(AND(D24=D25,E24=E25,F24=F25),"","2.")</f>
      </c>
      <c r="C25" s="43" t="str">
        <f aca="true" t="shared" si="34" ref="C25:C36">VLOOKUP($T25,$I$24:$M$37,2,FALSE)</f>
        <v>Spieler 2</v>
      </c>
      <c r="D25" s="44">
        <f aca="true" t="shared" si="35" ref="D25:D36">VLOOKUP($T25,$I$24:$M$37,3,FALSE)</f>
        <v>0</v>
      </c>
      <c r="E25" s="159">
        <f aca="true" t="shared" si="36" ref="E25:E36">VLOOKUP($T25,$I$24:$M$37,4,FALSE)</f>
        <v>0</v>
      </c>
      <c r="F25" s="160">
        <f aca="true" t="shared" si="37" ref="F25:F36">VLOOKUP($T25,$I$24:$M$37,5,FALSE)</f>
        <v>0</v>
      </c>
      <c r="I25" s="42">
        <f aca="true" t="shared" si="38" ref="I25:I37">RANK(N25,$N$24:$N$37,0)</f>
        <v>2</v>
      </c>
      <c r="J25" s="43" t="str">
        <f>'Kreuztabelle 14'!C26</f>
        <v>Spieler 2</v>
      </c>
      <c r="K25" s="44">
        <f>IF(COUNT('Kreuztabelle 14'!D26:'Kreuztabelle 14'!Q26)&gt;0,COUNT('Kreuztabelle 14'!D26:'Kreuztabelle 14'!Q26),0)</f>
        <v>0</v>
      </c>
      <c r="L25" s="159">
        <f aca="true" t="shared" si="39" ref="L25:L37">CK5</f>
        <v>0</v>
      </c>
      <c r="M25" s="160">
        <f aca="true" t="shared" si="40" ref="M25:M37">CK5-AB5</f>
        <v>0</v>
      </c>
      <c r="N25">
        <f>IF(M25=" ",0.1,M25*10000+L25+0.19)</f>
        <v>0.19</v>
      </c>
      <c r="O25" s="158"/>
      <c r="P25" s="158"/>
      <c r="T25" s="1">
        <v>2</v>
      </c>
    </row>
    <row r="26" spans="2:20" ht="19.5" customHeight="1">
      <c r="B26" s="42">
        <f>IF(AND(D25=D26,E25=E26,F25=F26),"","3.")</f>
      </c>
      <c r="C26" s="43" t="str">
        <f t="shared" si="34"/>
        <v>Spieler 3</v>
      </c>
      <c r="D26" s="44">
        <f t="shared" si="35"/>
        <v>0</v>
      </c>
      <c r="E26" s="159">
        <f t="shared" si="36"/>
        <v>0</v>
      </c>
      <c r="F26" s="160">
        <f t="shared" si="37"/>
        <v>0</v>
      </c>
      <c r="I26" s="42">
        <f t="shared" si="38"/>
        <v>3</v>
      </c>
      <c r="J26" s="43" t="str">
        <f>'Kreuztabelle 14'!C27</f>
        <v>Spieler 3</v>
      </c>
      <c r="K26" s="44">
        <f>IF(COUNT('Kreuztabelle 14'!D27:'Kreuztabelle 14'!Q27)&gt;0,COUNT('Kreuztabelle 14'!D27:'Kreuztabelle 14'!Q27),0)</f>
        <v>0</v>
      </c>
      <c r="L26" s="159">
        <f t="shared" si="39"/>
        <v>0</v>
      </c>
      <c r="M26" s="160">
        <f t="shared" si="40"/>
        <v>0</v>
      </c>
      <c r="N26">
        <f>IF(M26=" ",0.1,M26*10000+L26+0.18)</f>
        <v>0.18</v>
      </c>
      <c r="O26" s="158"/>
      <c r="P26" s="158"/>
      <c r="T26" s="1">
        <v>3</v>
      </c>
    </row>
    <row r="27" spans="2:20" ht="19.5" customHeight="1">
      <c r="B27" s="42">
        <f>IF(AND(D26=D27,E26=E27,F26=F27),"","4.")</f>
      </c>
      <c r="C27" s="43" t="str">
        <f t="shared" si="34"/>
        <v>Spieler 4</v>
      </c>
      <c r="D27" s="44">
        <f t="shared" si="35"/>
        <v>0</v>
      </c>
      <c r="E27" s="159">
        <f t="shared" si="36"/>
        <v>0</v>
      </c>
      <c r="F27" s="160">
        <f t="shared" si="37"/>
        <v>0</v>
      </c>
      <c r="I27" s="42">
        <f t="shared" si="38"/>
        <v>4</v>
      </c>
      <c r="J27" s="43" t="str">
        <f>'Kreuztabelle 14'!C28</f>
        <v>Spieler 4</v>
      </c>
      <c r="K27" s="44">
        <f>IF(COUNT('Kreuztabelle 14'!D28:'Kreuztabelle 14'!Q28)&gt;0,COUNT('Kreuztabelle 14'!D28:'Kreuztabelle 14'!Q28),0)</f>
        <v>0</v>
      </c>
      <c r="L27" s="159">
        <f t="shared" si="39"/>
        <v>0</v>
      </c>
      <c r="M27" s="160">
        <f t="shared" si="40"/>
        <v>0</v>
      </c>
      <c r="N27">
        <f>IF(M27=" ",0.1,M27*10000+L27+0.17)</f>
        <v>0.17</v>
      </c>
      <c r="O27" s="158"/>
      <c r="P27" s="158"/>
      <c r="T27" s="1">
        <v>4</v>
      </c>
    </row>
    <row r="28" spans="2:20" ht="19.5" customHeight="1">
      <c r="B28" s="42">
        <f>IF(AND(D27=D28,E27=E28,F27=F28),"","5.")</f>
      </c>
      <c r="C28" s="43" t="str">
        <f t="shared" si="34"/>
        <v>Spieler 5</v>
      </c>
      <c r="D28" s="44">
        <f t="shared" si="35"/>
        <v>0</v>
      </c>
      <c r="E28" s="159">
        <f t="shared" si="36"/>
        <v>0</v>
      </c>
      <c r="F28" s="160">
        <f t="shared" si="37"/>
        <v>0</v>
      </c>
      <c r="I28" s="42">
        <f t="shared" si="38"/>
        <v>5</v>
      </c>
      <c r="J28" s="43" t="str">
        <f>'Kreuztabelle 14'!C29</f>
        <v>Spieler 5</v>
      </c>
      <c r="K28" s="44">
        <f>IF(COUNT('Kreuztabelle 14'!D29:'Kreuztabelle 14'!Q29)&gt;0,COUNT('Kreuztabelle 14'!D29:'Kreuztabelle 14'!Q29),0)</f>
        <v>0</v>
      </c>
      <c r="L28" s="159">
        <f t="shared" si="39"/>
        <v>0</v>
      </c>
      <c r="M28" s="160">
        <f t="shared" si="40"/>
        <v>0</v>
      </c>
      <c r="N28">
        <f>IF(M28=" ",0.1,M28*10000+L28+0.16)</f>
        <v>0.16</v>
      </c>
      <c r="O28" s="158"/>
      <c r="P28" s="158"/>
      <c r="T28" s="1">
        <v>5</v>
      </c>
    </row>
    <row r="29" spans="2:20" ht="19.5" customHeight="1">
      <c r="B29" s="42">
        <f>IF(AND(D28=D29,E28=E29,F28=F29),"","6.")</f>
      </c>
      <c r="C29" s="43" t="str">
        <f t="shared" si="34"/>
        <v>Spieler 6</v>
      </c>
      <c r="D29" s="44">
        <f t="shared" si="35"/>
        <v>0</v>
      </c>
      <c r="E29" s="159">
        <f t="shared" si="36"/>
        <v>0</v>
      </c>
      <c r="F29" s="160">
        <f t="shared" si="37"/>
        <v>0</v>
      </c>
      <c r="I29" s="42">
        <f t="shared" si="38"/>
        <v>6</v>
      </c>
      <c r="J29" s="43" t="str">
        <f>'Kreuztabelle 14'!C30</f>
        <v>Spieler 6</v>
      </c>
      <c r="K29" s="44">
        <f>IF(COUNT('Kreuztabelle 14'!D30:'Kreuztabelle 14'!Q30)&gt;0,COUNT('Kreuztabelle 14'!D30:'Kreuztabelle 14'!Q30),0)</f>
        <v>0</v>
      </c>
      <c r="L29" s="159">
        <f t="shared" si="39"/>
        <v>0</v>
      </c>
      <c r="M29" s="160">
        <f t="shared" si="40"/>
        <v>0</v>
      </c>
      <c r="N29">
        <f>IF(M29=" ",0.1,M29*10000+L29+0.15)</f>
        <v>0.15</v>
      </c>
      <c r="O29" s="158"/>
      <c r="P29" s="158"/>
      <c r="T29" s="1">
        <v>6</v>
      </c>
    </row>
    <row r="30" spans="2:20" ht="19.5" customHeight="1">
      <c r="B30" s="42">
        <f>IF(AND(D29=D30,E29=E30,F29=F30),"","7.")</f>
      </c>
      <c r="C30" s="43" t="str">
        <f t="shared" si="34"/>
        <v>Spieler 7</v>
      </c>
      <c r="D30" s="44">
        <f t="shared" si="35"/>
        <v>0</v>
      </c>
      <c r="E30" s="159">
        <f t="shared" si="36"/>
        <v>0</v>
      </c>
      <c r="F30" s="160">
        <f t="shared" si="37"/>
        <v>0</v>
      </c>
      <c r="I30" s="42">
        <f t="shared" si="38"/>
        <v>7</v>
      </c>
      <c r="J30" s="43" t="str">
        <f>'Kreuztabelle 14'!C31</f>
        <v>Spieler 7</v>
      </c>
      <c r="K30" s="44">
        <f>IF(COUNT('Kreuztabelle 14'!D31:'Kreuztabelle 14'!Q31)&gt;0,COUNT('Kreuztabelle 14'!D31:'Kreuztabelle 14'!Q31),0)</f>
        <v>0</v>
      </c>
      <c r="L30" s="159">
        <f t="shared" si="39"/>
        <v>0</v>
      </c>
      <c r="M30" s="160">
        <f t="shared" si="40"/>
        <v>0</v>
      </c>
      <c r="N30">
        <f>IF(M30=" ",0.1,M30*10000+L30+0.14)</f>
        <v>0.14</v>
      </c>
      <c r="O30" s="158"/>
      <c r="P30" s="158"/>
      <c r="T30" s="1">
        <v>7</v>
      </c>
    </row>
    <row r="31" spans="2:20" ht="19.5" customHeight="1">
      <c r="B31" s="42">
        <f>IF(AND(D30=D31,E30=E31,F30=F31),"","8.")</f>
      </c>
      <c r="C31" s="43" t="str">
        <f t="shared" si="34"/>
        <v>Spieler 8</v>
      </c>
      <c r="D31" s="44">
        <f t="shared" si="35"/>
        <v>0</v>
      </c>
      <c r="E31" s="159">
        <f t="shared" si="36"/>
        <v>0</v>
      </c>
      <c r="F31" s="160">
        <f t="shared" si="37"/>
        <v>0</v>
      </c>
      <c r="I31" s="42">
        <f t="shared" si="38"/>
        <v>8</v>
      </c>
      <c r="J31" s="43" t="str">
        <f>'Kreuztabelle 14'!C32</f>
        <v>Spieler 8</v>
      </c>
      <c r="K31" s="44">
        <f>IF(COUNT('Kreuztabelle 14'!D32:'Kreuztabelle 14'!Q32)&gt;0,COUNT('Kreuztabelle 14'!D32:'Kreuztabelle 14'!Q32),0)</f>
        <v>0</v>
      </c>
      <c r="L31" s="159">
        <f t="shared" si="39"/>
        <v>0</v>
      </c>
      <c r="M31" s="160">
        <f t="shared" si="40"/>
        <v>0</v>
      </c>
      <c r="N31">
        <f>IF(M31=" ",0.1,M31*10000+L31+0.13)</f>
        <v>0.13</v>
      </c>
      <c r="O31" s="158"/>
      <c r="P31" s="158"/>
      <c r="T31" s="1">
        <v>8</v>
      </c>
    </row>
    <row r="32" spans="2:20" ht="19.5" customHeight="1">
      <c r="B32" s="42">
        <f>IF(AND(D31=D32,E31=E32,F31=F32),"","9.")</f>
      </c>
      <c r="C32" s="43" t="str">
        <f t="shared" si="34"/>
        <v>Spieler 9</v>
      </c>
      <c r="D32" s="44">
        <f t="shared" si="35"/>
        <v>0</v>
      </c>
      <c r="E32" s="159">
        <f t="shared" si="36"/>
        <v>0</v>
      </c>
      <c r="F32" s="160">
        <f t="shared" si="37"/>
        <v>0</v>
      </c>
      <c r="I32" s="42">
        <f t="shared" si="38"/>
        <v>9</v>
      </c>
      <c r="J32" s="43" t="str">
        <f>'Kreuztabelle 14'!C33</f>
        <v>Spieler 9</v>
      </c>
      <c r="K32" s="44">
        <f>IF(COUNT('Kreuztabelle 14'!D33:'Kreuztabelle 14'!Q33)&gt;0,COUNT('Kreuztabelle 14'!D33:'Kreuztabelle 14'!Q33),0)</f>
        <v>0</v>
      </c>
      <c r="L32" s="159">
        <f t="shared" si="39"/>
        <v>0</v>
      </c>
      <c r="M32" s="160">
        <f t="shared" si="40"/>
        <v>0</v>
      </c>
      <c r="N32">
        <f>IF(M32=" ",0.1,M32*10000+L32+0.12)</f>
        <v>0.12</v>
      </c>
      <c r="O32" s="158"/>
      <c r="P32" s="158"/>
      <c r="T32" s="1">
        <v>9</v>
      </c>
    </row>
    <row r="33" spans="2:20" ht="19.5" customHeight="1">
      <c r="B33" s="42">
        <f>IF(AND(D32=D33,E32=E33,F32=F33),"","10.")</f>
      </c>
      <c r="C33" s="43" t="str">
        <f t="shared" si="34"/>
        <v>Spieler 10</v>
      </c>
      <c r="D33" s="44">
        <f t="shared" si="35"/>
        <v>0</v>
      </c>
      <c r="E33" s="159">
        <f t="shared" si="36"/>
        <v>0</v>
      </c>
      <c r="F33" s="160">
        <f t="shared" si="37"/>
        <v>0</v>
      </c>
      <c r="I33" s="42">
        <f t="shared" si="38"/>
        <v>10</v>
      </c>
      <c r="J33" s="43" t="str">
        <f>'Kreuztabelle 14'!C34</f>
        <v>Spieler 10</v>
      </c>
      <c r="K33" s="44">
        <f>IF(COUNT('Kreuztabelle 14'!D34:'Kreuztabelle 14'!Q34)&gt;0,COUNT('Kreuztabelle 14'!D34:'Kreuztabelle 14'!Q34),0)</f>
        <v>0</v>
      </c>
      <c r="L33" s="159">
        <f t="shared" si="39"/>
        <v>0</v>
      </c>
      <c r="M33" s="160">
        <f t="shared" si="40"/>
        <v>0</v>
      </c>
      <c r="N33">
        <f>IF(M33=" ",0.1,M33*10000+L33+0.11)</f>
        <v>0.11</v>
      </c>
      <c r="O33" s="158"/>
      <c r="P33" s="158"/>
      <c r="T33" s="1">
        <v>10</v>
      </c>
    </row>
    <row r="34" spans="2:20" ht="19.5" customHeight="1">
      <c r="B34" s="42">
        <f>IF(AND(D33=D34,E33=E34,F33=F34),"","11.")</f>
      </c>
      <c r="C34" s="43" t="str">
        <f t="shared" si="34"/>
        <v>Spieler 11</v>
      </c>
      <c r="D34" s="44">
        <f t="shared" si="35"/>
        <v>0</v>
      </c>
      <c r="E34" s="159">
        <f t="shared" si="36"/>
        <v>0</v>
      </c>
      <c r="F34" s="160">
        <f t="shared" si="37"/>
        <v>0</v>
      </c>
      <c r="I34" s="42">
        <f t="shared" si="38"/>
        <v>11</v>
      </c>
      <c r="J34" s="43" t="str">
        <f>'Kreuztabelle 14'!C35</f>
        <v>Spieler 11</v>
      </c>
      <c r="K34" s="44">
        <f>IF(COUNT('Kreuztabelle 14'!D35:'Kreuztabelle 14'!Q35)&gt;0,COUNT('Kreuztabelle 14'!D35:'Kreuztabelle 14'!Q35),0)</f>
        <v>0</v>
      </c>
      <c r="L34" s="159">
        <f t="shared" si="39"/>
        <v>0</v>
      </c>
      <c r="M34" s="160">
        <f t="shared" si="40"/>
        <v>0</v>
      </c>
      <c r="N34">
        <f>IF(M34=" ",0.1,M34*10000+L34+0.1)</f>
        <v>0.1</v>
      </c>
      <c r="O34" s="158"/>
      <c r="P34" s="158"/>
      <c r="T34" s="1">
        <v>11</v>
      </c>
    </row>
    <row r="35" spans="2:20" ht="19.5" customHeight="1">
      <c r="B35" s="42">
        <f>IF(AND(D34=D35,E34=E35,F34=F35),"","12.")</f>
      </c>
      <c r="C35" s="43" t="str">
        <f t="shared" si="34"/>
        <v>Spieler 12</v>
      </c>
      <c r="D35" s="44">
        <f t="shared" si="35"/>
        <v>0</v>
      </c>
      <c r="E35" s="159">
        <f t="shared" si="36"/>
        <v>0</v>
      </c>
      <c r="F35" s="160">
        <f t="shared" si="37"/>
        <v>0</v>
      </c>
      <c r="I35" s="42">
        <f t="shared" si="38"/>
        <v>12</v>
      </c>
      <c r="J35" s="43" t="str">
        <f>'Kreuztabelle 14'!C36</f>
        <v>Spieler 12</v>
      </c>
      <c r="K35" s="44">
        <f>IF(COUNT('Kreuztabelle 14'!D36:'Kreuztabelle 14'!Q36)&gt;0,COUNT('Kreuztabelle 14'!D36:'Kreuztabelle 14'!Q36),0)</f>
        <v>0</v>
      </c>
      <c r="L35" s="159">
        <f t="shared" si="39"/>
        <v>0</v>
      </c>
      <c r="M35" s="160">
        <f t="shared" si="40"/>
        <v>0</v>
      </c>
      <c r="N35">
        <f>IF(M35=" ",0.1,M35*10000+L35+0.09)</f>
        <v>0.09</v>
      </c>
      <c r="O35" s="158"/>
      <c r="P35" s="158"/>
      <c r="T35" s="1">
        <v>12</v>
      </c>
    </row>
    <row r="36" spans="2:20" ht="19.5" customHeight="1">
      <c r="B36" s="42">
        <f>IF(AND(D35=D36,E35=E36,F35=F36),"","13.")</f>
      </c>
      <c r="C36" s="43" t="str">
        <f t="shared" si="34"/>
        <v>Spieler 13</v>
      </c>
      <c r="D36" s="44">
        <f t="shared" si="35"/>
        <v>0</v>
      </c>
      <c r="E36" s="159">
        <f t="shared" si="36"/>
        <v>0</v>
      </c>
      <c r="F36" s="160">
        <f t="shared" si="37"/>
        <v>0</v>
      </c>
      <c r="I36" s="42">
        <f t="shared" si="38"/>
        <v>13</v>
      </c>
      <c r="J36" s="43" t="str">
        <f>'Kreuztabelle 14'!C37</f>
        <v>Spieler 13</v>
      </c>
      <c r="K36" s="44">
        <f>IF(COUNT('Kreuztabelle 14'!D37:'Kreuztabelle 14'!Q37)&gt;0,COUNT('Kreuztabelle 14'!D37:'Kreuztabelle 14'!Q37),0)</f>
        <v>0</v>
      </c>
      <c r="L36" s="159">
        <f t="shared" si="39"/>
        <v>0</v>
      </c>
      <c r="M36" s="160">
        <f t="shared" si="40"/>
        <v>0</v>
      </c>
      <c r="N36">
        <f>IF(M36=" ",0.1,M36*10000+L36+0.08)</f>
        <v>0.08</v>
      </c>
      <c r="O36" s="158"/>
      <c r="P36" s="158"/>
      <c r="T36" s="1">
        <v>13</v>
      </c>
    </row>
    <row r="37" spans="2:20" ht="19.5" customHeight="1" thickBot="1">
      <c r="B37" s="46">
        <f>IF(Eingabe!G9="spielfrei","",IF(AND(D36=D37,E36=E37,F36=F37),"","14."))</f>
      </c>
      <c r="C37" s="47" t="str">
        <f>IF(Eingabe!G9="spielfrei","",VLOOKUP($T37,$I$24:$M$37,2,FALSE))</f>
        <v>Spieler / spielfrei</v>
      </c>
      <c r="D37" s="48">
        <f>IF(Eingabe!G9="spielfrei","",VLOOKUP($T37,$I$24:$M$37,3,FALSE))</f>
        <v>0</v>
      </c>
      <c r="E37" s="162">
        <f>IF(Eingabe!G9="spielfrei","",VLOOKUP($T37,$I$24:$M$37,4,FALSE))</f>
        <v>0</v>
      </c>
      <c r="F37" s="161">
        <f>IF(Eingabe!G9="spielfrei","",VLOOKUP($T37,$I$24:$M$37,5,FALSE))</f>
        <v>0</v>
      </c>
      <c r="I37" s="46">
        <f t="shared" si="38"/>
        <v>14</v>
      </c>
      <c r="J37" s="47" t="str">
        <f>'Kreuztabelle 14'!C38</f>
        <v>Spieler / spielfrei</v>
      </c>
      <c r="K37" s="48">
        <f>IF(COUNT('Kreuztabelle 14'!D38:'Kreuztabelle 14'!Q38)&gt;0,COUNT('Kreuztabelle 14'!D38:'Kreuztabelle 14'!Q38),0)</f>
        <v>0</v>
      </c>
      <c r="L37" s="162">
        <f t="shared" si="39"/>
        <v>0</v>
      </c>
      <c r="M37" s="161">
        <f t="shared" si="40"/>
        <v>0</v>
      </c>
      <c r="N37">
        <f>IF(M37=" ",0.1,M37*10000+L37+0.07)</f>
        <v>0.07</v>
      </c>
      <c r="O37" s="158"/>
      <c r="P37" s="158"/>
      <c r="T37" s="1">
        <v>14</v>
      </c>
    </row>
  </sheetData>
  <mergeCells count="4">
    <mergeCell ref="AD2:AP2"/>
    <mergeCell ref="AQ2:BC2"/>
    <mergeCell ref="BD2:BP2"/>
    <mergeCell ref="BQ2:CC2"/>
  </mergeCells>
  <conditionalFormatting sqref="C4 C23">
    <cfRule type="expression" priority="1" dxfId="0" stopIfTrue="1">
      <formula>$C$4="Stand nach der 0. Runde"</formula>
    </cfRule>
  </conditionalFormatting>
  <conditionalFormatting sqref="B18:F18 B37">
    <cfRule type="expression" priority="2" dxfId="0" stopIfTrue="1">
      <formula>$C$18="spielfrei"</formula>
    </cfRule>
  </conditionalFormatting>
  <conditionalFormatting sqref="F24:F37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2013-01-06T09:45:55Z</cp:lastPrinted>
  <dcterms:created xsi:type="dcterms:W3CDTF">2008-06-11T05:15:03Z</dcterms:created>
  <dcterms:modified xsi:type="dcterms:W3CDTF">2020-02-08T04:56:11Z</dcterms:modified>
  <cp:category/>
  <cp:version/>
  <cp:contentType/>
  <cp:contentStatus/>
</cp:coreProperties>
</file>