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945" yWindow="30" windowWidth="9135" windowHeight="13140" activeTab="0"/>
  </bookViews>
  <sheets>
    <sheet name="Eingabe" sheetId="1" r:id="rId1"/>
    <sheet name="10 Spieler" sheetId="2" r:id="rId2"/>
    <sheet name="Kreuztabelle 10" sheetId="3" r:id="rId3"/>
    <sheet name="Tabelle 10" sheetId="4" r:id="rId4"/>
  </sheets>
  <externalReferences>
    <externalReference r:id="rId7"/>
    <externalReference r:id="rId8"/>
  </externalReferences>
  <definedNames>
    <definedName name="_xlnm.Print_Area" localSheetId="1">'10 Spieler'!$A$1:$Y$35</definedName>
    <definedName name="_xlnm.Print_Area" localSheetId="2">'Kreuztabelle 10'!$A$2:$Q$15</definedName>
    <definedName name="_xlnm.Print_Area" localSheetId="3">'Tabelle 10'!$A$1:$G$30</definedName>
    <definedName name="Makro8">[1]!Makro8</definedName>
  </definedNames>
  <calcPr fullCalcOnLoad="1"/>
</workbook>
</file>

<file path=xl/sharedStrings.xml><?xml version="1.0" encoding="utf-8"?>
<sst xmlns="http://schemas.openxmlformats.org/spreadsheetml/2006/main" count="297" uniqueCount="75">
  <si>
    <t xml:space="preserve">Eingabe Turnier </t>
  </si>
  <si>
    <t>:</t>
  </si>
  <si>
    <t>z. B. Monatsblitzturnier</t>
  </si>
  <si>
    <t>vom :</t>
  </si>
  <si>
    <t>1. Runde</t>
  </si>
  <si>
    <t>2. Runde</t>
  </si>
  <si>
    <t>3. Runde</t>
  </si>
  <si>
    <t xml:space="preserve"> </t>
  </si>
  <si>
    <t>4. Runde</t>
  </si>
  <si>
    <t>5. Runde</t>
  </si>
  <si>
    <t>6. Runde</t>
  </si>
  <si>
    <t>7. Runde</t>
  </si>
  <si>
    <t>8. Runde</t>
  </si>
  <si>
    <t>9. Runde</t>
  </si>
  <si>
    <t>Nr.</t>
  </si>
  <si>
    <t>Spieler</t>
  </si>
  <si>
    <t>Punkte</t>
  </si>
  <si>
    <t>Sonn/Berg</t>
  </si>
  <si>
    <t>Platz</t>
  </si>
  <si>
    <t>Tabelle</t>
  </si>
  <si>
    <t>Schwarz</t>
  </si>
  <si>
    <t>Weiß</t>
  </si>
  <si>
    <t>Runde</t>
  </si>
  <si>
    <t>Ergebnis</t>
  </si>
  <si>
    <t>Sitzplan der</t>
  </si>
  <si>
    <t>eine Runde vorgewählt werden.</t>
  </si>
  <si>
    <t xml:space="preserve">Im Feld "G1" kann im Tabellenblatt "10 Spieler" </t>
  </si>
  <si>
    <t>Rangfolge</t>
  </si>
  <si>
    <t>Spieler 1</t>
  </si>
  <si>
    <t>Spieler 2</t>
  </si>
  <si>
    <t>Spieler 3</t>
  </si>
  <si>
    <t>Spieler 4</t>
  </si>
  <si>
    <t>Spieler 5</t>
  </si>
  <si>
    <t>Spieler 6</t>
  </si>
  <si>
    <t>Spieler 7</t>
  </si>
  <si>
    <t>Spieler 8</t>
  </si>
  <si>
    <t>Spieler 9</t>
  </si>
  <si>
    <t>Datum</t>
  </si>
  <si>
    <t>??.??.????</t>
  </si>
  <si>
    <t>Spieler 10 / spielfrei</t>
  </si>
  <si>
    <t xml:space="preserve">Die Paarungen entsprechen dem Sitzplan / die Farbverteilung für die einzelnen Runden wird nur oben angezeigt! </t>
  </si>
  <si>
    <t>Eingabe Daten</t>
  </si>
  <si>
    <t>Name</t>
  </si>
  <si>
    <t>J</t>
  </si>
  <si>
    <t>DWZ</t>
  </si>
  <si>
    <t>J = Alterskonstante (bis 20 = 5; 21 bis 25 = 10; ab 26 = 15)</t>
  </si>
  <si>
    <t xml:space="preserve">DWZ der Gegner der </t>
  </si>
  <si>
    <t xml:space="preserve">Ergebnisse der </t>
  </si>
  <si>
    <t>Berechnung von p für jedes Spiel</t>
  </si>
  <si>
    <t>We</t>
  </si>
  <si>
    <t>n</t>
  </si>
  <si>
    <r>
      <t>E</t>
    </r>
    <r>
      <rPr>
        <b/>
        <sz val="6"/>
        <rFont val="Arial"/>
        <family val="2"/>
      </rPr>
      <t>0</t>
    </r>
  </si>
  <si>
    <r>
      <t>f</t>
    </r>
    <r>
      <rPr>
        <b/>
        <sz val="6"/>
        <rFont val="Arial"/>
        <family val="2"/>
      </rPr>
      <t>B</t>
    </r>
  </si>
  <si>
    <r>
      <t>S</t>
    </r>
    <r>
      <rPr>
        <b/>
        <sz val="6"/>
        <rFont val="Arial"/>
        <family val="2"/>
      </rPr>
      <t>Br</t>
    </r>
  </si>
  <si>
    <t>E</t>
  </si>
  <si>
    <t>W</t>
  </si>
  <si>
    <t>Summe p</t>
  </si>
  <si>
    <t>gespielte Partien</t>
  </si>
  <si>
    <t>Berechnung</t>
  </si>
  <si>
    <t>Beschleunigung</t>
  </si>
  <si>
    <t>Bremse</t>
  </si>
  <si>
    <t>(wird gerundet)</t>
  </si>
  <si>
    <t>geholte Punkte</t>
  </si>
  <si>
    <t>Neue DWZ</t>
  </si>
  <si>
    <t xml:space="preserve">Ergebnisse Spieler mit DWZ  </t>
  </si>
  <si>
    <t>DWZ neu</t>
  </si>
  <si>
    <t xml:space="preserve"> + / - </t>
  </si>
  <si>
    <t>DWZ Tabelle :-)</t>
  </si>
  <si>
    <t>Informationen:</t>
  </si>
  <si>
    <t>Wenn für J kein Wert eingetragen wird, wird dieser auf 15 gesetzt.</t>
  </si>
  <si>
    <t>Die DWZ Berechnung berücksichtigt nicht alle Bestimmungen!</t>
  </si>
  <si>
    <t>Es wird keine Gewähr übernommen, dass diese Tabelle fehlerfrei ist!</t>
  </si>
  <si>
    <t>Diese Tabelle ist für 9 oder 10 Spieler gemacht.</t>
  </si>
  <si>
    <r>
      <t xml:space="preserve">Bei nur 9 Spielern </t>
    </r>
    <r>
      <rPr>
        <b/>
        <u val="single"/>
        <sz val="12"/>
        <rFont val="Arial"/>
        <family val="2"/>
      </rPr>
      <t>muss</t>
    </r>
    <r>
      <rPr>
        <b/>
        <sz val="12"/>
        <rFont val="Arial"/>
        <family val="2"/>
      </rPr>
      <t xml:space="preserve"> immer </t>
    </r>
    <r>
      <rPr>
        <b/>
        <sz val="12"/>
        <color indexed="10"/>
        <rFont val="Arial"/>
        <family val="2"/>
      </rPr>
      <t>spielfrei</t>
    </r>
    <r>
      <rPr>
        <b/>
        <sz val="12"/>
        <rFont val="Arial"/>
        <family val="2"/>
      </rPr>
      <t xml:space="preserve"> für den 10 Spieler eingetragen werden!</t>
    </r>
  </si>
  <si>
    <t>Version 1.02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</si>
</sst>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sz val="13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darkUp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Continuous" vertic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4" fontId="8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2" fontId="5" fillId="0" borderId="17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172" fontId="1" fillId="0" borderId="2" xfId="0" applyNumberFormat="1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Continuous" vertical="center"/>
    </xf>
    <xf numFmtId="14" fontId="12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172" fontId="0" fillId="0" borderId="0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vertical="center"/>
    </xf>
    <xf numFmtId="0" fontId="0" fillId="3" borderId="0" xfId="0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6" xfId="0" applyFill="1" applyBorder="1" applyAlignment="1">
      <alignment/>
    </xf>
    <xf numFmtId="0" fontId="5" fillId="3" borderId="2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4" borderId="30" xfId="0" applyFill="1" applyBorder="1" applyAlignment="1">
      <alignment horizontal="left" vertical="center"/>
    </xf>
    <xf numFmtId="0" fontId="0" fillId="4" borderId="3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4" borderId="1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73" fontId="0" fillId="0" borderId="33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73" fontId="0" fillId="0" borderId="33" xfId="0" applyNumberFormat="1" applyBorder="1" applyAlignment="1">
      <alignment horizontal="left"/>
    </xf>
    <xf numFmtId="1" fontId="5" fillId="0" borderId="17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0" fillId="3" borderId="0" xfId="0" applyFont="1" applyFill="1" applyAlignment="1">
      <alignment horizontal="left" vertical="top"/>
    </xf>
    <xf numFmtId="0" fontId="15" fillId="3" borderId="0" xfId="0" applyFont="1" applyFill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14" fontId="17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FF0000"/>
      </font>
      <border/>
    </dxf>
    <dxf>
      <font>
        <b/>
        <i val="0"/>
        <color rgb="FF3366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D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  <sheetName val="Modul 8"/>
    </sheetNames>
    <definedNames>
      <definedName name="Makro8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7109375" style="0" customWidth="1"/>
    <col min="2" max="2" width="3.7109375" style="0" customWidth="1"/>
    <col min="3" max="3" width="2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6.7109375" style="0" customWidth="1"/>
    <col min="10" max="26" width="12.7109375" style="0" customWidth="1"/>
  </cols>
  <sheetData>
    <row r="1" spans="1:26" ht="19.5" customHeight="1">
      <c r="A1" s="156" t="s">
        <v>74</v>
      </c>
      <c r="B1" s="161" t="str">
        <f ca="1">"Heute ist "&amp;IF(WEEKDAY(TODAY())=1,"Sonntag","")&amp;IF(WEEKDAY(TODAY())=2,"Montag","")&amp;IF(WEEKDAY(TODAY())=3,"Dienstag","")&amp;IF(WEEKDAY(TODAY())=4,"Mittwoch","")&amp;IF(WEEKDAY(TODAY())=5,"Donnerstag","")&amp;IF(WEEKDAY(TODAY())=6,"Freitag","")&amp;IF(WEEKDAY(TODAY())=7,"Samstag","")&amp;" der "&amp;DAY(TODAY())&amp;". "&amp;IF(MONTH(TODAY())=1,"Januar","")&amp;IF(MONTH(TODAY())=2,"Februar","")&amp;IF(MONTH(TODAY())=3,"März","")&amp;IF(MONTH(TODAY())=4,"April","")&amp;IF(MONTH(TODAY())=5,"Mai","")&amp;IF(MONTH(TODAY())=6,"Juni","")&amp;IF(MONTH(TODAY())=7,"Juli","")&amp;IF(MONTH(TODAY())=8,"August","")&amp;IF(MONTH(TODAY())=9,"September","")&amp;IF(MONTH(TODAY())=10,"Oktober","")&amp;IF(MONTH(TODAY())=11,"November","")&amp;IF(MONTH(TODAY())=12,"Dezember","")&amp;" "&amp;YEAR(TODAY())</f>
        <v>Heute ist Samstag der 8. Februar 2020</v>
      </c>
      <c r="C1" s="161"/>
      <c r="D1" s="161"/>
      <c r="E1" s="161"/>
      <c r="F1" s="161"/>
      <c r="G1" s="161"/>
      <c r="H1" s="161"/>
      <c r="I1" s="161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6" ht="24" customHeight="1">
      <c r="A2" s="102"/>
      <c r="B2" s="118"/>
      <c r="C2" s="162" t="s">
        <v>37</v>
      </c>
      <c r="D2" s="162"/>
      <c r="E2" s="162"/>
      <c r="F2" s="111" t="s">
        <v>1</v>
      </c>
      <c r="G2" s="163" t="s">
        <v>38</v>
      </c>
      <c r="H2" s="163"/>
      <c r="I2" s="163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24" customHeight="1">
      <c r="A3" s="98"/>
      <c r="B3" s="109"/>
      <c r="C3" s="158" t="s">
        <v>0</v>
      </c>
      <c r="D3" s="158"/>
      <c r="E3" s="158"/>
      <c r="F3" s="110" t="s">
        <v>1</v>
      </c>
      <c r="G3" s="159" t="s">
        <v>2</v>
      </c>
      <c r="H3" s="159"/>
      <c r="I3" s="159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24" customHeight="1">
      <c r="A4" s="98"/>
      <c r="B4" s="160" t="s">
        <v>41</v>
      </c>
      <c r="C4" s="160"/>
      <c r="D4" s="160"/>
      <c r="E4" s="160"/>
      <c r="F4" s="160"/>
      <c r="G4" s="160"/>
      <c r="H4" s="160"/>
      <c r="I4" s="160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4" customHeight="1" thickBot="1">
      <c r="A5" s="120"/>
      <c r="B5" s="101"/>
      <c r="C5" s="121" t="s">
        <v>42</v>
      </c>
      <c r="D5" s="122" t="s">
        <v>43</v>
      </c>
      <c r="E5" s="122" t="s">
        <v>44</v>
      </c>
      <c r="F5" s="100"/>
      <c r="G5" s="100"/>
      <c r="H5" s="100"/>
      <c r="I5" s="101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24.75" customHeight="1">
      <c r="A6" s="98"/>
      <c r="B6" s="103">
        <v>1</v>
      </c>
      <c r="C6" s="123" t="s">
        <v>28</v>
      </c>
      <c r="D6" s="124"/>
      <c r="E6" s="131"/>
      <c r="F6" s="103"/>
      <c r="G6" s="114"/>
      <c r="H6" s="125"/>
      <c r="I6" s="104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4.75" customHeight="1">
      <c r="A7" s="98"/>
      <c r="B7" s="105">
        <v>2</v>
      </c>
      <c r="C7" s="126" t="s">
        <v>29</v>
      </c>
      <c r="D7" s="127"/>
      <c r="E7" s="132"/>
      <c r="F7" s="105"/>
      <c r="G7" s="115"/>
      <c r="H7" s="128"/>
      <c r="I7" s="106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24.75" customHeight="1">
      <c r="A8" s="98"/>
      <c r="B8" s="105">
        <v>3</v>
      </c>
      <c r="C8" s="126" t="s">
        <v>30</v>
      </c>
      <c r="D8" s="127"/>
      <c r="E8" s="132"/>
      <c r="F8" s="105"/>
      <c r="G8" s="115"/>
      <c r="H8" s="128"/>
      <c r="I8" s="106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24.75" customHeight="1">
      <c r="A9" s="98"/>
      <c r="B9" s="105">
        <v>4</v>
      </c>
      <c r="C9" s="126" t="s">
        <v>31</v>
      </c>
      <c r="D9" s="127"/>
      <c r="E9" s="132"/>
      <c r="F9" s="105"/>
      <c r="G9" s="115"/>
      <c r="H9" s="128"/>
      <c r="I9" s="106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4.75" customHeight="1">
      <c r="A10" s="98"/>
      <c r="B10" s="105">
        <v>5</v>
      </c>
      <c r="C10" s="126" t="s">
        <v>32</v>
      </c>
      <c r="D10" s="127"/>
      <c r="E10" s="132"/>
      <c r="F10" s="105"/>
      <c r="G10" s="115"/>
      <c r="H10" s="128"/>
      <c r="I10" s="106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4.75" customHeight="1">
      <c r="A11" s="98"/>
      <c r="B11" s="105">
        <v>6</v>
      </c>
      <c r="C11" s="126" t="s">
        <v>33</v>
      </c>
      <c r="D11" s="127"/>
      <c r="E11" s="132"/>
      <c r="F11" s="105"/>
      <c r="G11" s="115"/>
      <c r="H11" s="128"/>
      <c r="I11" s="106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24.75" customHeight="1">
      <c r="A12" s="98"/>
      <c r="B12" s="105">
        <v>7</v>
      </c>
      <c r="C12" s="126" t="s">
        <v>34</v>
      </c>
      <c r="D12" s="127"/>
      <c r="E12" s="132"/>
      <c r="F12" s="105"/>
      <c r="G12" s="115"/>
      <c r="H12" s="128"/>
      <c r="I12" s="106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4.75" customHeight="1">
      <c r="A13" s="98"/>
      <c r="B13" s="105">
        <v>8</v>
      </c>
      <c r="C13" s="126" t="s">
        <v>35</v>
      </c>
      <c r="D13" s="127"/>
      <c r="E13" s="132"/>
      <c r="F13" s="105"/>
      <c r="G13" s="115"/>
      <c r="H13" s="128"/>
      <c r="I13" s="106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24.75" customHeight="1">
      <c r="A14" s="98"/>
      <c r="B14" s="105">
        <v>9</v>
      </c>
      <c r="C14" s="126" t="s">
        <v>36</v>
      </c>
      <c r="D14" s="127"/>
      <c r="E14" s="132"/>
      <c r="F14" s="105"/>
      <c r="G14" s="115"/>
      <c r="H14" s="128"/>
      <c r="I14" s="106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24.75" customHeight="1" thickBot="1">
      <c r="A15" s="98"/>
      <c r="B15" s="107">
        <v>10</v>
      </c>
      <c r="C15" s="133" t="s">
        <v>39</v>
      </c>
      <c r="D15" s="134"/>
      <c r="E15" s="135"/>
      <c r="F15" s="107"/>
      <c r="G15" s="116"/>
      <c r="H15" s="129"/>
      <c r="I15" s="10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24.7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5" customHeight="1">
      <c r="A17" s="130"/>
      <c r="B17" s="99" t="s">
        <v>68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15" customHeight="1">
      <c r="A18" s="130"/>
      <c r="B18" s="99" t="s">
        <v>72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15" customHeight="1">
      <c r="A19" s="130"/>
      <c r="B19" s="99" t="s">
        <v>73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1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5" customHeight="1">
      <c r="A21" s="98"/>
      <c r="B21" s="99" t="s">
        <v>26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5" customHeight="1">
      <c r="A22" s="98"/>
      <c r="B22" s="99" t="s">
        <v>25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5" customHeight="1">
      <c r="A24" s="98"/>
      <c r="B24" s="99" t="s">
        <v>45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5" customHeight="1">
      <c r="A25" s="98"/>
      <c r="B25" s="99" t="s">
        <v>69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5" customHeight="1">
      <c r="A26" s="98"/>
      <c r="B26" s="99" t="s">
        <v>70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5" customHeight="1">
      <c r="A27" s="98"/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5" customHeight="1">
      <c r="A28" s="98"/>
      <c r="B28" s="157" t="s">
        <v>71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1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</sheetData>
  <mergeCells count="6">
    <mergeCell ref="C3:E3"/>
    <mergeCell ref="G3:I3"/>
    <mergeCell ref="B4:I4"/>
    <mergeCell ref="B1:I1"/>
    <mergeCell ref="C2:E2"/>
    <mergeCell ref="G2:I2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A51"/>
  <sheetViews>
    <sheetView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00390625" style="0" customWidth="1"/>
    <col min="2" max="2" width="3.7109375" style="0" customWidth="1"/>
    <col min="3" max="3" width="13.7109375" style="0" customWidth="1"/>
    <col min="4" max="4" width="1.57421875" style="0" customWidth="1"/>
    <col min="5" max="5" width="2.7109375" style="0" customWidth="1"/>
    <col min="6" max="6" width="11.7109375" style="0" customWidth="1"/>
    <col min="7" max="7" width="4.140625" style="0" customWidth="1"/>
    <col min="8" max="8" width="1.57421875" style="0" customWidth="1"/>
    <col min="9" max="9" width="4.140625" style="0" customWidth="1"/>
    <col min="10" max="10" width="3.7109375" style="0" customWidth="1"/>
    <col min="11" max="11" width="13.7109375" style="0" customWidth="1"/>
    <col min="12" max="12" width="1.57421875" style="0" customWidth="1"/>
    <col min="13" max="13" width="2.7109375" style="0" customWidth="1"/>
    <col min="14" max="14" width="11.7109375" style="0" customWidth="1"/>
    <col min="15" max="15" width="4.140625" style="0" customWidth="1"/>
    <col min="16" max="16" width="1.57421875" style="0" customWidth="1"/>
    <col min="17" max="17" width="4.140625" style="0" customWidth="1"/>
    <col min="18" max="18" width="3.7109375" style="0" customWidth="1"/>
    <col min="19" max="19" width="13.7109375" style="0" customWidth="1"/>
    <col min="20" max="20" width="1.57421875" style="0" customWidth="1"/>
    <col min="21" max="21" width="2.7109375" style="0" customWidth="1"/>
    <col min="22" max="22" width="11.7109375" style="0" customWidth="1"/>
    <col min="23" max="23" width="4.140625" style="0" customWidth="1"/>
    <col min="24" max="24" width="1.57421875" style="0" customWidth="1"/>
    <col min="25" max="25" width="4.140625" style="0" customWidth="1"/>
    <col min="26" max="26" width="4.00390625" style="0" customWidth="1"/>
    <col min="27" max="30" width="8.7109375" style="1" hidden="1" customWidth="1"/>
    <col min="31" max="37" width="8.7109375" style="0" hidden="1" customWidth="1"/>
    <col min="38" max="38" width="2.7109375" style="0" hidden="1" customWidth="1"/>
    <col min="39" max="42" width="4.7109375" style="0" hidden="1" customWidth="1"/>
    <col min="43" max="43" width="4.7109375" style="1" hidden="1" customWidth="1"/>
  </cols>
  <sheetData>
    <row r="1" spans="1:43" s="14" customFormat="1" ht="23.25">
      <c r="A1"/>
      <c r="B1" s="173" t="s">
        <v>24</v>
      </c>
      <c r="C1" s="173"/>
      <c r="D1" s="172" t="str">
        <f>AQ51&amp;"."</f>
        <v>1.</v>
      </c>
      <c r="E1" s="172"/>
      <c r="F1" s="85" t="s">
        <v>22</v>
      </c>
      <c r="G1" s="178"/>
      <c r="H1" s="174" t="str">
        <f>Eingabe!$G$3</f>
        <v>z. B. Monatsblitzturnier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2"/>
      <c r="T1"/>
      <c r="U1" s="48" t="s">
        <v>3</v>
      </c>
      <c r="V1" s="171" t="str">
        <f>Eingabe!G2</f>
        <v>??.??.????</v>
      </c>
      <c r="W1" s="171"/>
      <c r="X1" s="171"/>
      <c r="Y1" s="171"/>
      <c r="AA1" s="1"/>
      <c r="AB1" s="1"/>
      <c r="AC1" s="1"/>
      <c r="AD1" s="1"/>
      <c r="AQ1" s="1"/>
    </row>
    <row r="3" spans="2:28" ht="13.5" thickBot="1">
      <c r="B3" s="17" t="str">
        <f>AK7</f>
        <v>Spieler 1</v>
      </c>
      <c r="C3" s="12"/>
      <c r="D3" s="15"/>
      <c r="E3" s="12"/>
      <c r="F3" s="15" t="str">
        <f>AK8</f>
        <v>Spieler 2</v>
      </c>
      <c r="G3" s="15"/>
      <c r="H3" s="15"/>
      <c r="I3" s="15"/>
      <c r="J3" s="15" t="str">
        <f>AK9</f>
        <v>Spieler 3</v>
      </c>
      <c r="K3" s="12"/>
      <c r="L3" s="15"/>
      <c r="M3" s="12"/>
      <c r="N3" s="15" t="str">
        <f>AK10</f>
        <v>Spieler 4</v>
      </c>
      <c r="O3" s="15"/>
      <c r="P3" s="15"/>
      <c r="Q3" s="15"/>
      <c r="R3" s="15" t="str">
        <f>AK11</f>
        <v>Spieler 5</v>
      </c>
      <c r="S3" s="12"/>
      <c r="T3" s="15"/>
      <c r="U3" s="17"/>
      <c r="V3" s="70"/>
      <c r="W3" s="17"/>
      <c r="X3" s="17"/>
      <c r="Y3" s="17"/>
      <c r="Z3" s="17"/>
      <c r="AA3" s="87"/>
      <c r="AB3" s="3"/>
    </row>
    <row r="4" spans="2:42" ht="12.75">
      <c r="B4" s="165" t="str">
        <f>IF($B$7="spielfrei","",AK6)</f>
        <v>Weiß</v>
      </c>
      <c r="C4" s="166" t="str">
        <f>IF($F$7="spielfrei","","Tisch 1")</f>
        <v>Tisch 1</v>
      </c>
      <c r="D4" s="166" t="str">
        <f>IF($F$7="spielfrei","","Tisch 1")</f>
        <v>Tisch 1</v>
      </c>
      <c r="E4" s="167" t="str">
        <f>IF($F$7="spielfrei","","Tisch 1")</f>
        <v>Tisch 1</v>
      </c>
      <c r="F4" s="165" t="s">
        <v>20</v>
      </c>
      <c r="G4" s="166"/>
      <c r="H4" s="166"/>
      <c r="I4" s="167"/>
      <c r="J4" s="165" t="s">
        <v>21</v>
      </c>
      <c r="K4" s="166"/>
      <c r="L4" s="166"/>
      <c r="M4" s="167"/>
      <c r="N4" s="165" t="s">
        <v>20</v>
      </c>
      <c r="O4" s="166"/>
      <c r="P4" s="166"/>
      <c r="Q4" s="167"/>
      <c r="R4" s="165" t="s">
        <v>21</v>
      </c>
      <c r="S4" s="166"/>
      <c r="T4" s="166"/>
      <c r="U4" s="167"/>
      <c r="V4" s="71"/>
      <c r="W4" s="2"/>
      <c r="X4" s="2"/>
      <c r="Y4" s="2"/>
      <c r="Z4" s="2"/>
      <c r="AA4" s="3" t="s">
        <v>18</v>
      </c>
      <c r="AB4" s="3" t="s">
        <v>4</v>
      </c>
      <c r="AC4" s="1" t="s">
        <v>5</v>
      </c>
      <c r="AD4" s="1" t="s">
        <v>6</v>
      </c>
      <c r="AE4" s="1" t="s">
        <v>8</v>
      </c>
      <c r="AF4" s="1" t="s">
        <v>9</v>
      </c>
      <c r="AG4" s="1" t="s">
        <v>10</v>
      </c>
      <c r="AH4" s="1" t="s">
        <v>11</v>
      </c>
      <c r="AI4" s="1" t="s">
        <v>12</v>
      </c>
      <c r="AJ4" s="1" t="s">
        <v>13</v>
      </c>
      <c r="AK4" s="1" t="s">
        <v>23</v>
      </c>
      <c r="AL4" s="1"/>
      <c r="AM4" s="3">
        <f>IF($E$12="spielfrei",COUNT($G$13:$G$16,$O$13:$O$16,$W$13:$W$16,$G$22:$G$25,$O$22:$O$25,$W$22:$W$25,$G$31:$G$34,$O$31:$O$34,$W$31:$W$34),-1)</f>
        <v>-1</v>
      </c>
      <c r="AN4" s="3"/>
      <c r="AO4" s="3">
        <f>IF($E$12="spielfrei",-1,COUNT($G$12:$G$16,$O$12:$O$16,$W$12:$W$16,$G$21:$G$25,$O$21:$O$25,$W$21:$W$25,$G$30:$G$34,$O$30:$O$34,$W$30:$W$34))</f>
        <v>0</v>
      </c>
      <c r="AP4" s="3"/>
    </row>
    <row r="5" spans="2:43" ht="12.75">
      <c r="B5" s="72" t="str">
        <f>IF($B$7="spielfrei","","Tisch 1")</f>
        <v>Tisch 1</v>
      </c>
      <c r="C5" s="73"/>
      <c r="D5" s="73"/>
      <c r="E5" s="74"/>
      <c r="F5" s="72" t="str">
        <f>IF($B$7="spielfrei","Tisch 1","Tisch 2")</f>
        <v>Tisch 2</v>
      </c>
      <c r="G5" s="16"/>
      <c r="H5" s="34"/>
      <c r="I5" s="83"/>
      <c r="J5" s="72" t="str">
        <f>IF($B$7="spielfrei","Tisch 2","Tisch 3")</f>
        <v>Tisch 3</v>
      </c>
      <c r="K5" s="73"/>
      <c r="L5" s="73"/>
      <c r="M5" s="74"/>
      <c r="N5" s="72" t="str">
        <f>IF($B$7="spielfrei","Tisch 3","Tisch 4")</f>
        <v>Tisch 4</v>
      </c>
      <c r="O5" s="16"/>
      <c r="P5" s="34"/>
      <c r="Q5" s="84"/>
      <c r="R5" s="72" t="str">
        <f>IF($B$7="spielfrei","Tisch 4","Tisch 5")</f>
        <v>Tisch 5</v>
      </c>
      <c r="S5" s="16"/>
      <c r="T5" s="34"/>
      <c r="U5" s="84"/>
      <c r="V5" s="70"/>
      <c r="W5" s="17"/>
      <c r="X5" s="17"/>
      <c r="Y5" s="16"/>
      <c r="Z5" s="16"/>
      <c r="AA5" s="3"/>
      <c r="AB5" s="3"/>
      <c r="AM5" s="3">
        <f>IF($AM$4=AQ5,AN5,0)</f>
        <v>0</v>
      </c>
      <c r="AN5" s="3">
        <v>1</v>
      </c>
      <c r="AO5" s="3">
        <f>IF($AO$4=AQ5,AP5,0)</f>
        <v>1</v>
      </c>
      <c r="AP5" s="3">
        <v>1</v>
      </c>
      <c r="AQ5" s="1">
        <v>0</v>
      </c>
    </row>
    <row r="6" spans="2:43" ht="13.5" thickBot="1">
      <c r="B6" s="168" t="str">
        <f>IF($B$7="spielfrei","",IF(B4="Weiß","Schwarz",IF(B4="Schwarz","Weiß")))</f>
        <v>Schwarz</v>
      </c>
      <c r="C6" s="169"/>
      <c r="D6" s="169"/>
      <c r="E6" s="170"/>
      <c r="F6" s="168" t="s">
        <v>21</v>
      </c>
      <c r="G6" s="169"/>
      <c r="H6" s="169"/>
      <c r="I6" s="170"/>
      <c r="J6" s="168" t="s">
        <v>20</v>
      </c>
      <c r="K6" s="169"/>
      <c r="L6" s="169"/>
      <c r="M6" s="170"/>
      <c r="N6" s="168" t="s">
        <v>21</v>
      </c>
      <c r="O6" s="169"/>
      <c r="P6" s="169"/>
      <c r="Q6" s="170"/>
      <c r="R6" s="168" t="s">
        <v>20</v>
      </c>
      <c r="S6" s="169"/>
      <c r="T6" s="169"/>
      <c r="U6" s="170"/>
      <c r="V6" s="71"/>
      <c r="W6" s="2"/>
      <c r="X6" s="2"/>
      <c r="Y6" s="2"/>
      <c r="Z6" s="2"/>
      <c r="AA6" s="3"/>
      <c r="AB6" s="3" t="str">
        <f>IF($AQ$51=1,"Weiß","")</f>
        <v>Weiß</v>
      </c>
      <c r="AC6" s="3">
        <f>IF($AQ$51=2,"Schwarz","")</f>
      </c>
      <c r="AD6" s="3">
        <f>IF($AQ$51=3,"Weiß","")</f>
      </c>
      <c r="AE6" s="3">
        <f>IF($AQ$51=4,"Schwarz","")</f>
      </c>
      <c r="AF6" s="3">
        <f>IF($AQ$51=5,"Weiß","")</f>
      </c>
      <c r="AG6" s="3">
        <f>IF($AQ$51=6,"Schwarz","")</f>
      </c>
      <c r="AH6" s="3">
        <f>IF($AQ$51=7,"Weiß","")</f>
      </c>
      <c r="AI6" s="3">
        <f>IF($AQ$51=8,"Schwarz","")</f>
      </c>
      <c r="AJ6" s="3">
        <f>IF($AQ$51=9,"Weiß","")</f>
      </c>
      <c r="AK6" s="1" t="str">
        <f>AB6&amp;AC6&amp;AD6&amp;AE6&amp;AF6&amp;AG6&amp;AH6&amp;AI6&amp;AJ6</f>
        <v>Weiß</v>
      </c>
      <c r="AL6" s="1"/>
      <c r="AM6" s="3">
        <f aca="true" t="shared" si="0" ref="AM6:AM41">IF($AM$4=AQ6,AN6,0)</f>
        <v>0</v>
      </c>
      <c r="AN6" s="3">
        <v>1</v>
      </c>
      <c r="AO6" s="3">
        <f aca="true" t="shared" si="1" ref="AO6:AO50">IF($AO$4=AQ6,AP6,0)</f>
        <v>0</v>
      </c>
      <c r="AP6" s="3">
        <v>1</v>
      </c>
      <c r="AQ6" s="1">
        <v>1</v>
      </c>
    </row>
    <row r="7" spans="2:43" ht="12.75">
      <c r="B7" s="15" t="str">
        <f>AK16</f>
        <v>Spieler 10 / spielfrei</v>
      </c>
      <c r="C7" s="12"/>
      <c r="D7" s="12"/>
      <c r="E7" s="12"/>
      <c r="F7" s="15" t="str">
        <f>AK15</f>
        <v>Spieler 9</v>
      </c>
      <c r="G7" s="15"/>
      <c r="H7" s="15"/>
      <c r="I7" s="12"/>
      <c r="J7" s="15" t="str">
        <f>AK14</f>
        <v>Spieler 8</v>
      </c>
      <c r="K7" s="12"/>
      <c r="L7" s="12"/>
      <c r="M7" s="12"/>
      <c r="N7" s="15" t="str">
        <f>AK13</f>
        <v>Spieler 7</v>
      </c>
      <c r="O7" s="15"/>
      <c r="P7" s="15"/>
      <c r="Q7" s="12"/>
      <c r="R7" s="15" t="str">
        <f>AK12</f>
        <v>Spieler 6</v>
      </c>
      <c r="S7" s="12"/>
      <c r="T7" s="12"/>
      <c r="U7" s="17"/>
      <c r="V7" s="70"/>
      <c r="W7" s="17"/>
      <c r="X7" s="17"/>
      <c r="Y7" s="16"/>
      <c r="Z7" s="16"/>
      <c r="AA7" s="3">
        <v>1</v>
      </c>
      <c r="AB7" s="3" t="str">
        <f>IF($AQ$51=1,Eingabe!$C$6,"")</f>
        <v>Spieler 1</v>
      </c>
      <c r="AC7" s="3">
        <f>IF($AQ$51=2,Eingabe!$C$14,"")</f>
      </c>
      <c r="AD7" s="3">
        <f>IF($AQ$51=3,Eingabe!$C$13,"")</f>
      </c>
      <c r="AE7" s="3">
        <f>IF($AQ$51=4,Eingabe!$C$12,"")</f>
      </c>
      <c r="AF7" s="3">
        <f>IF($AQ$51=5,Eingabe!$C$11,"")</f>
      </c>
      <c r="AG7" s="3">
        <f>IF($AQ$51=6,Eingabe!$C$10,"")</f>
      </c>
      <c r="AH7" s="3">
        <f>IF($AQ$51=7,Eingabe!$C$9,"")</f>
      </c>
      <c r="AI7" s="3">
        <f>IF($AQ$51=8,Eingabe!$C$8,"")</f>
      </c>
      <c r="AJ7" s="3">
        <f>IF($AQ$51=9,Eingabe!$C$7,"")</f>
      </c>
      <c r="AK7" s="1" t="str">
        <f aca="true" t="shared" si="2" ref="AK7:AK17">AB7&amp;AC7&amp;AD7&amp;AE7&amp;AF7&amp;AG7&amp;AH7&amp;AI7&amp;AJ7</f>
        <v>Spieler 1</v>
      </c>
      <c r="AM7" s="3">
        <f t="shared" si="0"/>
        <v>0</v>
      </c>
      <c r="AN7" s="3">
        <v>1</v>
      </c>
      <c r="AO7" s="3">
        <f t="shared" si="1"/>
        <v>0</v>
      </c>
      <c r="AP7" s="3">
        <v>1</v>
      </c>
      <c r="AQ7" s="3">
        <v>2</v>
      </c>
    </row>
    <row r="8" spans="2:43" ht="12.75">
      <c r="B8" s="164" t="s">
        <v>40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AA8" s="1">
        <v>2</v>
      </c>
      <c r="AB8" s="3" t="str">
        <f>IF($AQ$51=1,Eingabe!$C$7,"")</f>
        <v>Spieler 2</v>
      </c>
      <c r="AC8" s="3">
        <f>IF($AQ$51=2,Eingabe!$C$6,"")</f>
      </c>
      <c r="AD8" s="3">
        <f>IF($AQ$51=3,Eingabe!$C$14,"")</f>
      </c>
      <c r="AE8" s="3">
        <f>IF($AQ$51=4,Eingabe!$C$13,"")</f>
      </c>
      <c r="AF8" s="3">
        <f>IF($AQ$51=5,Eingabe!$C$12,"")</f>
      </c>
      <c r="AG8" s="3">
        <f>IF($AQ$51=6,Eingabe!$C$11,"")</f>
      </c>
      <c r="AH8" s="3">
        <f>IF($AQ$51=7,Eingabe!$C$10,"")</f>
      </c>
      <c r="AI8" s="3">
        <f>IF($AQ$51=8,Eingabe!$C$9,"")</f>
      </c>
      <c r="AJ8" s="3">
        <f>IF($AQ$51=9,Eingabe!$C$8,"")</f>
      </c>
      <c r="AK8" s="1" t="str">
        <f t="shared" si="2"/>
        <v>Spieler 2</v>
      </c>
      <c r="AM8" s="3">
        <f t="shared" si="0"/>
        <v>0</v>
      </c>
      <c r="AN8" s="3">
        <v>1</v>
      </c>
      <c r="AO8" s="3">
        <f t="shared" si="1"/>
        <v>0</v>
      </c>
      <c r="AP8" s="3">
        <v>1</v>
      </c>
      <c r="AQ8" s="86">
        <v>3</v>
      </c>
    </row>
    <row r="9" spans="1:43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AA9" s="1">
        <v>3</v>
      </c>
      <c r="AB9" s="3" t="str">
        <f>IF($AQ$51=1,Eingabe!$C$8,"")</f>
        <v>Spieler 3</v>
      </c>
      <c r="AC9" s="3">
        <f>IF($AQ$51=2,Eingabe!$C$7,"")</f>
      </c>
      <c r="AD9" s="3">
        <f>IF($AQ$51=3,Eingabe!$C$6,"")</f>
      </c>
      <c r="AE9" s="3">
        <f>IF($AQ$51=4,Eingabe!$C$14,"")</f>
      </c>
      <c r="AF9" s="3">
        <f>IF($AQ$51=5,Eingabe!$C$13,"")</f>
      </c>
      <c r="AG9" s="3">
        <f>IF($AQ$51=6,Eingabe!$C$12,"")</f>
      </c>
      <c r="AH9" s="3">
        <f>IF($AQ$51=7,Eingabe!$C$11,"")</f>
      </c>
      <c r="AI9" s="3">
        <f>IF($AQ$51=8,Eingabe!$C$10,"")</f>
      </c>
      <c r="AJ9" s="3">
        <f>IF($AQ$51=9,Eingabe!$C$9,"")</f>
      </c>
      <c r="AK9" s="1" t="str">
        <f t="shared" si="2"/>
        <v>Spieler 3</v>
      </c>
      <c r="AM9" s="3">
        <f t="shared" si="0"/>
        <v>0</v>
      </c>
      <c r="AN9" s="3">
        <v>2</v>
      </c>
      <c r="AO9" s="3">
        <f t="shared" si="1"/>
        <v>0</v>
      </c>
      <c r="AP9" s="3">
        <v>1</v>
      </c>
      <c r="AQ9" s="86">
        <v>4</v>
      </c>
    </row>
    <row r="10" spans="4:235" ht="12.75">
      <c r="D10" s="11" t="s">
        <v>4</v>
      </c>
      <c r="L10" s="11" t="s">
        <v>5</v>
      </c>
      <c r="T10" s="11" t="s">
        <v>6</v>
      </c>
      <c r="AA10" s="1">
        <v>4</v>
      </c>
      <c r="AB10" s="3" t="str">
        <f>IF($AQ$51=1,Eingabe!$C$9,"")</f>
        <v>Spieler 4</v>
      </c>
      <c r="AC10" s="3">
        <f>IF($AQ$51=2,Eingabe!$C$8,"")</f>
      </c>
      <c r="AD10" s="3">
        <f>IF($AQ$51=3,Eingabe!$C$7,"")</f>
      </c>
      <c r="AE10" s="3">
        <f>IF($AQ$51=4,Eingabe!$C$6,"")</f>
      </c>
      <c r="AF10" s="3">
        <f>IF($AQ$51=5,Eingabe!$C$14,"")</f>
      </c>
      <c r="AG10" s="3">
        <f>IF($AQ$51=6,Eingabe!$C$13,"")</f>
      </c>
      <c r="AH10" s="3">
        <f>IF($AQ$51=7,Eingabe!$C$12,"")</f>
      </c>
      <c r="AI10" s="3">
        <f>IF($AQ$51=8,Eingabe!$C$11,"")</f>
      </c>
      <c r="AJ10" s="3">
        <f>IF($AQ$51=9,Eingabe!$C$10,"")</f>
      </c>
      <c r="AK10" s="1" t="str">
        <f t="shared" si="2"/>
        <v>Spieler 4</v>
      </c>
      <c r="AL10" s="2"/>
      <c r="AM10" s="3">
        <f t="shared" si="0"/>
        <v>0</v>
      </c>
      <c r="AN10" s="3">
        <v>2</v>
      </c>
      <c r="AO10" s="3">
        <f t="shared" si="1"/>
        <v>0</v>
      </c>
      <c r="AP10" s="3">
        <v>2</v>
      </c>
      <c r="AQ10" s="86">
        <v>5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3:235" ht="6" customHeight="1">
      <c r="C11" s="11"/>
      <c r="K11" s="11"/>
      <c r="S11" s="11"/>
      <c r="AA11" s="1">
        <v>5</v>
      </c>
      <c r="AB11" s="3" t="str">
        <f>IF($AQ$51=1,Eingabe!$C$10,"")</f>
        <v>Spieler 5</v>
      </c>
      <c r="AC11" s="3">
        <f>IF($AQ$51=2,Eingabe!$C$9,"")</f>
      </c>
      <c r="AD11" s="3">
        <f>IF($AQ$51=3,Eingabe!$C$8,"")</f>
      </c>
      <c r="AE11" s="3">
        <f>IF($AQ$51=4,Eingabe!$C$7,"")</f>
      </c>
      <c r="AF11" s="3">
        <f>IF($AQ$51=5,Eingabe!$C$6,"")</f>
      </c>
      <c r="AG11" s="3">
        <f>IF($AQ$51=6,Eingabe!$C$14,"")</f>
      </c>
      <c r="AH11" s="3">
        <f>IF($AQ$51=7,Eingabe!$C$13,"")</f>
      </c>
      <c r="AI11" s="3">
        <f>IF($AQ$51=8,Eingabe!$C$12,"")</f>
      </c>
      <c r="AJ11" s="3">
        <f>IF($AQ$51=9,Eingabe!$C$11,"")</f>
      </c>
      <c r="AK11" s="1" t="str">
        <f t="shared" si="2"/>
        <v>Spieler 5</v>
      </c>
      <c r="AL11" s="2"/>
      <c r="AM11" s="3">
        <f t="shared" si="0"/>
        <v>0</v>
      </c>
      <c r="AN11" s="3">
        <v>2</v>
      </c>
      <c r="AO11" s="3">
        <f t="shared" si="1"/>
        <v>0</v>
      </c>
      <c r="AP11" s="3">
        <v>2</v>
      </c>
      <c r="AQ11" s="86">
        <v>6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ht="12.75">
      <c r="A12" t="str">
        <f>IF(Eingabe!$C$15="spielfrei","","Tisch 1 :")</f>
        <v>Tisch 1 :</v>
      </c>
      <c r="C12" s="14" t="str">
        <f>Eingabe!$C$6</f>
        <v>Spieler 1</v>
      </c>
      <c r="D12" s="1" t="s">
        <v>1</v>
      </c>
      <c r="E12" s="14" t="str">
        <f>Eingabe!$C$15</f>
        <v>Spieler 10 / spielfrei</v>
      </c>
      <c r="F12" s="14"/>
      <c r="G12" s="1" t="s">
        <v>7</v>
      </c>
      <c r="H12" s="1" t="str">
        <f>IF($B$7="spielfrei"," ",":")</f>
        <v>:</v>
      </c>
      <c r="I12" s="5" t="str">
        <f>IF(G12&lt;=1,1-G12," ")</f>
        <v> </v>
      </c>
      <c r="J12" s="3"/>
      <c r="K12" s="14" t="str">
        <f>Eingabe!$C$14</f>
        <v>Spieler 9</v>
      </c>
      <c r="L12" s="1" t="s">
        <v>1</v>
      </c>
      <c r="M12" s="14" t="str">
        <f>Eingabe!$C$15</f>
        <v>Spieler 10 / spielfrei</v>
      </c>
      <c r="N12" s="14"/>
      <c r="O12" s="1" t="s">
        <v>7</v>
      </c>
      <c r="P12" s="1" t="str">
        <f>IF($B$7="spielfrei"," ",":")</f>
        <v>:</v>
      </c>
      <c r="Q12" s="5" t="str">
        <f>IF(O12&lt;=1,1-O12," ")</f>
        <v> </v>
      </c>
      <c r="R12" s="3"/>
      <c r="S12" s="14" t="str">
        <f>Eingabe!$C$13</f>
        <v>Spieler 8</v>
      </c>
      <c r="T12" s="1" t="s">
        <v>1</v>
      </c>
      <c r="U12" s="14" t="str">
        <f>Eingabe!$C$15</f>
        <v>Spieler 10 / spielfrei</v>
      </c>
      <c r="V12" s="14"/>
      <c r="W12" s="1" t="s">
        <v>7</v>
      </c>
      <c r="X12" s="1" t="str">
        <f>IF($B$7="spielfrei"," ",":")</f>
        <v>:</v>
      </c>
      <c r="Y12" s="3" t="str">
        <f>IF(W12&lt;=1,1-W12," ")</f>
        <v> </v>
      </c>
      <c r="Z12" s="3"/>
      <c r="AA12" s="3">
        <v>6</v>
      </c>
      <c r="AB12" s="3" t="str">
        <f>IF($AQ$51=1,Eingabe!$C$11,"")</f>
        <v>Spieler 6</v>
      </c>
      <c r="AC12" s="3">
        <f>IF($AQ$51=2,Eingabe!$C$10,"")</f>
      </c>
      <c r="AD12" s="3">
        <f>IF($AQ$51=3,Eingabe!$C$9,"")</f>
      </c>
      <c r="AE12" s="3">
        <f>IF($AQ$51=4,Eingabe!$C$8,"")</f>
      </c>
      <c r="AF12" s="3">
        <f>IF($AQ$51=5,Eingabe!$C$7,"")</f>
      </c>
      <c r="AG12" s="3">
        <f>IF($AQ$51=6,Eingabe!$C$6,"")</f>
      </c>
      <c r="AH12" s="3">
        <f>IF($AQ$51=7,Eingabe!$C$14,"")</f>
      </c>
      <c r="AI12" s="3">
        <f>IF($AQ$51=8,Eingabe!$C$13,"")</f>
      </c>
      <c r="AJ12" s="3">
        <f>IF($AQ$51=9,Eingabe!$C$12,"")</f>
      </c>
      <c r="AK12" s="1" t="str">
        <f t="shared" si="2"/>
        <v>Spieler 6</v>
      </c>
      <c r="AL12" s="2"/>
      <c r="AM12" s="3">
        <f t="shared" si="0"/>
        <v>0</v>
      </c>
      <c r="AN12" s="3">
        <v>2</v>
      </c>
      <c r="AO12" s="3">
        <f t="shared" si="1"/>
        <v>0</v>
      </c>
      <c r="AP12" s="3">
        <v>2</v>
      </c>
      <c r="AQ12" s="86">
        <v>7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5" ht="12.75">
      <c r="A13" t="str">
        <f>IF(Eingabe!$C$15="spielfrei","Tisch 1 :","Tisch 2 :")</f>
        <v>Tisch 2 :</v>
      </c>
      <c r="C13" s="14" t="str">
        <f>Eingabe!$C$14</f>
        <v>Spieler 9</v>
      </c>
      <c r="D13" s="1" t="s">
        <v>1</v>
      </c>
      <c r="E13" s="14" t="str">
        <f>Eingabe!$C$7</f>
        <v>Spieler 2</v>
      </c>
      <c r="F13" s="14"/>
      <c r="G13" s="1" t="s">
        <v>7</v>
      </c>
      <c r="H13" s="1" t="s">
        <v>1</v>
      </c>
      <c r="I13" s="5" t="str">
        <f>IF(G13&lt;=1,1-G13," ")</f>
        <v> </v>
      </c>
      <c r="J13" s="3"/>
      <c r="K13" s="14" t="str">
        <f>Eingabe!$C$13</f>
        <v>Spieler 8</v>
      </c>
      <c r="L13" s="1" t="s">
        <v>1</v>
      </c>
      <c r="M13" s="14" t="str">
        <f>Eingabe!$C$6</f>
        <v>Spieler 1</v>
      </c>
      <c r="N13" s="14"/>
      <c r="O13" s="1" t="s">
        <v>7</v>
      </c>
      <c r="P13" s="1" t="s">
        <v>1</v>
      </c>
      <c r="Q13" s="5" t="str">
        <f>IF(O13&lt;=1,1-O13," ")</f>
        <v> </v>
      </c>
      <c r="R13" s="3"/>
      <c r="S13" s="14" t="str">
        <f>Eingabe!$C$12</f>
        <v>Spieler 7</v>
      </c>
      <c r="T13" s="1" t="s">
        <v>1</v>
      </c>
      <c r="U13" s="14" t="str">
        <f>Eingabe!$C$14</f>
        <v>Spieler 9</v>
      </c>
      <c r="V13" s="14"/>
      <c r="W13" s="1" t="s">
        <v>7</v>
      </c>
      <c r="X13" s="1" t="s">
        <v>1</v>
      </c>
      <c r="Y13" s="3" t="str">
        <f>IF(W13&lt;=1,1-W13," ")</f>
        <v> </v>
      </c>
      <c r="Z13" s="3"/>
      <c r="AA13" s="3">
        <v>7</v>
      </c>
      <c r="AB13" s="3" t="str">
        <f>IF($AQ$51=1,Eingabe!$C$12,"")</f>
        <v>Spieler 7</v>
      </c>
      <c r="AC13" s="3">
        <f>IF($AQ$51=2,Eingabe!$C$11,"")</f>
      </c>
      <c r="AD13" s="3">
        <f>IF($AQ$51=3,Eingabe!$C$10,"")</f>
      </c>
      <c r="AE13" s="3">
        <f>IF($AQ$51=4,Eingabe!$C$9,"")</f>
      </c>
      <c r="AF13" s="3">
        <f>IF($AQ$51=5,Eingabe!$C$8,"")</f>
      </c>
      <c r="AG13" s="3">
        <f>IF($AQ$51=6,Eingabe!$C$7,"")</f>
      </c>
      <c r="AH13" s="3">
        <f>IF($AQ$51=7,Eingabe!$C$6,"")</f>
      </c>
      <c r="AI13" s="3">
        <f>IF($AQ$51=8,Eingabe!$C$14,"")</f>
      </c>
      <c r="AJ13" s="3">
        <f>IF($AQ$51=9,Eingabe!$C$13,"")</f>
      </c>
      <c r="AK13" s="1" t="str">
        <f t="shared" si="2"/>
        <v>Spieler 7</v>
      </c>
      <c r="AL13" s="2"/>
      <c r="AM13" s="3">
        <f t="shared" si="0"/>
        <v>0</v>
      </c>
      <c r="AN13" s="3">
        <v>3</v>
      </c>
      <c r="AO13" s="3">
        <f t="shared" si="1"/>
        <v>0</v>
      </c>
      <c r="AP13" s="3">
        <v>2</v>
      </c>
      <c r="AQ13" s="86">
        <v>8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ht="12.75">
      <c r="A14" t="str">
        <f>IF(Eingabe!$C$15="spielfrei","Tisch 2 :","Tisch 3 :")</f>
        <v>Tisch 3 :</v>
      </c>
      <c r="C14" s="14" t="str">
        <f>Eingabe!$C$13</f>
        <v>Spieler 8</v>
      </c>
      <c r="D14" s="1" t="s">
        <v>1</v>
      </c>
      <c r="E14" s="14" t="str">
        <f>Eingabe!$C$8</f>
        <v>Spieler 3</v>
      </c>
      <c r="F14" s="14"/>
      <c r="G14" s="1" t="s">
        <v>7</v>
      </c>
      <c r="H14" s="1" t="s">
        <v>1</v>
      </c>
      <c r="I14" s="5" t="str">
        <f>IF(G14&lt;=1,1-G14," ")</f>
        <v> </v>
      </c>
      <c r="J14" s="3"/>
      <c r="K14" s="14" t="str">
        <f>Eingabe!$C$12</f>
        <v>Spieler 7</v>
      </c>
      <c r="L14" s="1" t="s">
        <v>1</v>
      </c>
      <c r="M14" s="14" t="str">
        <f>Eingabe!$C$7</f>
        <v>Spieler 2</v>
      </c>
      <c r="N14" s="14"/>
      <c r="O14" s="1" t="s">
        <v>7</v>
      </c>
      <c r="P14" s="1" t="s">
        <v>1</v>
      </c>
      <c r="Q14" s="5" t="str">
        <f>IF(O14&lt;=1,1-O14," ")</f>
        <v> </v>
      </c>
      <c r="R14" s="3"/>
      <c r="S14" s="14" t="str">
        <f>Eingabe!$C$11</f>
        <v>Spieler 6</v>
      </c>
      <c r="T14" s="1" t="s">
        <v>1</v>
      </c>
      <c r="U14" s="14" t="str">
        <f>Eingabe!$C$6</f>
        <v>Spieler 1</v>
      </c>
      <c r="V14" s="14"/>
      <c r="W14" s="1" t="s">
        <v>7</v>
      </c>
      <c r="X14" s="1" t="s">
        <v>1</v>
      </c>
      <c r="Y14" s="3" t="str">
        <f>IF(W14&lt;=1,1-W14," ")</f>
        <v> </v>
      </c>
      <c r="Z14" s="3"/>
      <c r="AA14" s="3">
        <v>8</v>
      </c>
      <c r="AB14" s="3" t="str">
        <f>IF($AQ$51=1,Eingabe!$C$13,"")</f>
        <v>Spieler 8</v>
      </c>
      <c r="AC14" s="3">
        <f>IF($AQ$51=2,Eingabe!$C$12,"")</f>
      </c>
      <c r="AD14" s="3">
        <f>IF($AQ$51=3,Eingabe!$C$11,"")</f>
      </c>
      <c r="AE14" s="3">
        <f>IF($AQ$51=4,Eingabe!$C$10,"")</f>
      </c>
      <c r="AF14" s="3">
        <f>IF($AQ$51=5,Eingabe!$C$9,"")</f>
      </c>
      <c r="AG14" s="3">
        <f>IF($AQ$51=6,Eingabe!$C$8,"")</f>
      </c>
      <c r="AH14" s="3">
        <f>IF($AQ$51=7,Eingabe!$C$7,"")</f>
      </c>
      <c r="AI14" s="3">
        <f>IF($AQ$51=8,Eingabe!$C$6,"")</f>
      </c>
      <c r="AJ14" s="3">
        <f>IF($AQ$51=9,Eingabe!$C$14,"")</f>
      </c>
      <c r="AK14" s="1" t="str">
        <f t="shared" si="2"/>
        <v>Spieler 8</v>
      </c>
      <c r="AL14" s="2"/>
      <c r="AM14" s="3">
        <f t="shared" si="0"/>
        <v>0</v>
      </c>
      <c r="AN14" s="3">
        <v>3</v>
      </c>
      <c r="AO14" s="3">
        <f t="shared" si="1"/>
        <v>0</v>
      </c>
      <c r="AP14" s="3">
        <v>2</v>
      </c>
      <c r="AQ14" s="86">
        <v>9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ht="12.75">
      <c r="A15" t="str">
        <f>IF(Eingabe!$C$15="spielfrei","Tisch 3 :","Tisch 4 :")</f>
        <v>Tisch 4 :</v>
      </c>
      <c r="C15" s="14" t="str">
        <f>Eingabe!$C$12</f>
        <v>Spieler 7</v>
      </c>
      <c r="D15" s="1" t="s">
        <v>1</v>
      </c>
      <c r="E15" s="14" t="str">
        <f>Eingabe!$C$9</f>
        <v>Spieler 4</v>
      </c>
      <c r="F15" s="14"/>
      <c r="G15" s="1" t="s">
        <v>7</v>
      </c>
      <c r="H15" s="1" t="s">
        <v>1</v>
      </c>
      <c r="I15" s="5" t="str">
        <f>IF(G15&lt;=1,1-G15," ")</f>
        <v> </v>
      </c>
      <c r="J15" s="3"/>
      <c r="K15" s="14" t="str">
        <f>Eingabe!$C$11</f>
        <v>Spieler 6</v>
      </c>
      <c r="L15" s="1" t="s">
        <v>1</v>
      </c>
      <c r="M15" s="14" t="str">
        <f>Eingabe!$C$8</f>
        <v>Spieler 3</v>
      </c>
      <c r="N15" s="14"/>
      <c r="O15" s="1" t="s">
        <v>7</v>
      </c>
      <c r="P15" s="1" t="s">
        <v>1</v>
      </c>
      <c r="Q15" s="5" t="str">
        <f>IF(O15&lt;=1,1-O15," ")</f>
        <v> </v>
      </c>
      <c r="R15" s="3"/>
      <c r="S15" s="14" t="str">
        <f>Eingabe!$C$10</f>
        <v>Spieler 5</v>
      </c>
      <c r="T15" s="1" t="s">
        <v>1</v>
      </c>
      <c r="U15" s="14" t="str">
        <f>Eingabe!$C$7</f>
        <v>Spieler 2</v>
      </c>
      <c r="V15" s="14"/>
      <c r="W15" s="1" t="s">
        <v>7</v>
      </c>
      <c r="X15" s="1" t="s">
        <v>1</v>
      </c>
      <c r="Y15" s="3" t="str">
        <f>IF(W15&lt;=1,1-W15," ")</f>
        <v> </v>
      </c>
      <c r="Z15" s="3"/>
      <c r="AA15" s="3">
        <v>9</v>
      </c>
      <c r="AB15" s="3" t="str">
        <f>IF($AQ$51=1,Eingabe!$C$14,"")</f>
        <v>Spieler 9</v>
      </c>
      <c r="AC15" s="3">
        <f>IF($AQ$51=2,Eingabe!$C$13,"")</f>
      </c>
      <c r="AD15" s="3">
        <f>IF($AQ$51=3,Eingabe!$C$12,"")</f>
      </c>
      <c r="AE15" s="3">
        <f>IF($AQ$51=4,Eingabe!$C$11,"")</f>
      </c>
      <c r="AF15" s="3">
        <f>IF($AQ$51=5,Eingabe!$C$10,"")</f>
      </c>
      <c r="AG15" s="3">
        <f>IF($AQ$51=6,Eingabe!$C$9,"")</f>
      </c>
      <c r="AH15" s="3">
        <f>IF($AQ$51=7,Eingabe!$C$8,"")</f>
      </c>
      <c r="AI15" s="3">
        <f>IF($AQ$51=8,Eingabe!$C$7,"")</f>
      </c>
      <c r="AJ15" s="3">
        <f>IF($AQ$51=9,Eingabe!$C$6,"")</f>
      </c>
      <c r="AK15" s="1" t="str">
        <f t="shared" si="2"/>
        <v>Spieler 9</v>
      </c>
      <c r="AL15" s="2"/>
      <c r="AM15" s="3">
        <f t="shared" si="0"/>
        <v>0</v>
      </c>
      <c r="AN15" s="3">
        <v>3</v>
      </c>
      <c r="AO15" s="3">
        <f t="shared" si="1"/>
        <v>0</v>
      </c>
      <c r="AP15" s="3">
        <v>3</v>
      </c>
      <c r="AQ15" s="86">
        <v>10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12.75">
      <c r="A16" t="str">
        <f>IF(Eingabe!$C$15="spielfrei","Tisch 4 :","Tisch 5 :")</f>
        <v>Tisch 5 :</v>
      </c>
      <c r="C16" s="14" t="str">
        <f>Eingabe!$C$11</f>
        <v>Spieler 6</v>
      </c>
      <c r="D16" s="1" t="s">
        <v>1</v>
      </c>
      <c r="E16" s="14" t="str">
        <f>Eingabe!$C$10</f>
        <v>Spieler 5</v>
      </c>
      <c r="F16" s="14"/>
      <c r="G16" s="1" t="s">
        <v>7</v>
      </c>
      <c r="H16" s="1" t="s">
        <v>1</v>
      </c>
      <c r="I16" s="5" t="str">
        <f>IF(G16&lt;=1,1-G16," ")</f>
        <v> </v>
      </c>
      <c r="J16" s="3"/>
      <c r="K16" s="14" t="str">
        <f>Eingabe!$C$10</f>
        <v>Spieler 5</v>
      </c>
      <c r="L16" s="1" t="s">
        <v>1</v>
      </c>
      <c r="M16" s="14" t="str">
        <f>Eingabe!$C$9</f>
        <v>Spieler 4</v>
      </c>
      <c r="N16" s="14"/>
      <c r="O16" s="1" t="s">
        <v>7</v>
      </c>
      <c r="P16" s="1" t="s">
        <v>1</v>
      </c>
      <c r="Q16" s="5" t="str">
        <f>IF(O16&lt;=1,1-O16," ")</f>
        <v> </v>
      </c>
      <c r="R16" s="3"/>
      <c r="S16" s="14" t="str">
        <f>Eingabe!$C$9</f>
        <v>Spieler 4</v>
      </c>
      <c r="T16" s="1" t="s">
        <v>1</v>
      </c>
      <c r="U16" s="14" t="str">
        <f>Eingabe!$C$8</f>
        <v>Spieler 3</v>
      </c>
      <c r="V16" s="14"/>
      <c r="W16" s="1" t="s">
        <v>7</v>
      </c>
      <c r="X16" s="1" t="s">
        <v>1</v>
      </c>
      <c r="Y16" s="3" t="str">
        <f>IF(W16&lt;=1,1-W16," ")</f>
        <v> </v>
      </c>
      <c r="Z16" s="3"/>
      <c r="AA16" s="3">
        <v>10</v>
      </c>
      <c r="AB16" s="3" t="str">
        <f>IF($AQ$51=1,Eingabe!$C$15,"")</f>
        <v>Spieler 10 / spielfrei</v>
      </c>
      <c r="AC16" s="3">
        <f>IF($AQ$51=2,Eingabe!$C$15,"")</f>
      </c>
      <c r="AD16" s="3">
        <f>IF($AQ$51=3,Eingabe!$C$15,"")</f>
      </c>
      <c r="AE16" s="3">
        <f>IF($AQ$51=4,Eingabe!$C$15,"")</f>
      </c>
      <c r="AF16" s="3">
        <f>IF($AQ$51=5,Eingabe!$C$15,"")</f>
      </c>
      <c r="AG16" s="3">
        <f>IF($AQ$51=6,Eingabe!$C$15,"")</f>
      </c>
      <c r="AH16" s="3">
        <f>IF($AQ$51=7,Eingabe!$C$15,"")</f>
      </c>
      <c r="AI16" s="3">
        <f>IF($AQ$51=8,Eingabe!$C$15,"")</f>
      </c>
      <c r="AJ16" s="3">
        <f>IF($AQ$51=9,Eingabe!$C$15,"")</f>
      </c>
      <c r="AK16" s="1" t="str">
        <f t="shared" si="2"/>
        <v>Spieler 10 / spielfrei</v>
      </c>
      <c r="AL16" s="2"/>
      <c r="AM16" s="3">
        <f t="shared" si="0"/>
        <v>0</v>
      </c>
      <c r="AN16" s="3">
        <v>3</v>
      </c>
      <c r="AO16" s="3">
        <f t="shared" si="1"/>
        <v>0</v>
      </c>
      <c r="AP16" s="3">
        <v>3</v>
      </c>
      <c r="AQ16" s="86">
        <v>11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3:235" ht="12.75">
      <c r="C17" s="13"/>
      <c r="D17" s="1"/>
      <c r="E17" s="14"/>
      <c r="F17" s="14"/>
      <c r="G17" s="14"/>
      <c r="H17" s="1"/>
      <c r="I17" s="2"/>
      <c r="J17" s="2"/>
      <c r="K17" s="13"/>
      <c r="L17" s="1"/>
      <c r="M17" s="14"/>
      <c r="N17" s="14"/>
      <c r="O17" s="14"/>
      <c r="P17" s="1"/>
      <c r="Q17" s="2"/>
      <c r="R17" s="2"/>
      <c r="S17" s="13"/>
      <c r="T17" s="1"/>
      <c r="U17" s="14"/>
      <c r="V17" s="14"/>
      <c r="W17" s="14"/>
      <c r="X17" s="1"/>
      <c r="Y17" s="2"/>
      <c r="Z17" s="2"/>
      <c r="AA17" s="3"/>
      <c r="AB17" s="3"/>
      <c r="AC17" s="3"/>
      <c r="AD17" s="3"/>
      <c r="AE17" s="2"/>
      <c r="AF17" s="2"/>
      <c r="AG17" s="2"/>
      <c r="AH17" s="2"/>
      <c r="AI17" s="2"/>
      <c r="AJ17" s="2"/>
      <c r="AK17" s="1">
        <f t="shared" si="2"/>
      </c>
      <c r="AL17" s="2"/>
      <c r="AM17" s="3">
        <f t="shared" si="0"/>
        <v>0</v>
      </c>
      <c r="AN17" s="3">
        <v>4</v>
      </c>
      <c r="AO17" s="3">
        <f t="shared" si="1"/>
        <v>0</v>
      </c>
      <c r="AP17" s="3">
        <v>3</v>
      </c>
      <c r="AQ17" s="86">
        <v>12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25:235" ht="12.75">
      <c r="Y18" s="2"/>
      <c r="Z18" s="2"/>
      <c r="AA18" s="3"/>
      <c r="AB18" s="3"/>
      <c r="AC18" s="3"/>
      <c r="AD18" s="3"/>
      <c r="AE18" s="2"/>
      <c r="AF18" s="2"/>
      <c r="AG18" s="2"/>
      <c r="AH18" s="2"/>
      <c r="AI18" s="2"/>
      <c r="AJ18" s="2"/>
      <c r="AK18" s="2"/>
      <c r="AL18" s="2"/>
      <c r="AM18" s="3">
        <f t="shared" si="0"/>
        <v>0</v>
      </c>
      <c r="AN18" s="3">
        <v>4</v>
      </c>
      <c r="AO18" s="3">
        <f t="shared" si="1"/>
        <v>0</v>
      </c>
      <c r="AP18" s="3">
        <v>3</v>
      </c>
      <c r="AQ18" s="86">
        <v>13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4:235" ht="12.75">
      <c r="D19" s="11" t="s">
        <v>8</v>
      </c>
      <c r="L19" s="11" t="s">
        <v>9</v>
      </c>
      <c r="T19" s="11" t="s">
        <v>10</v>
      </c>
      <c r="Y19" s="2"/>
      <c r="Z19" s="2"/>
      <c r="AA19" s="3"/>
      <c r="AB19" s="3"/>
      <c r="AC19" s="3"/>
      <c r="AD19" s="3"/>
      <c r="AE19" s="2"/>
      <c r="AF19" s="2"/>
      <c r="AG19" s="2"/>
      <c r="AH19" s="2"/>
      <c r="AI19" s="2"/>
      <c r="AJ19" s="2"/>
      <c r="AK19" s="2"/>
      <c r="AL19" s="2"/>
      <c r="AM19" s="3">
        <f t="shared" si="0"/>
        <v>0</v>
      </c>
      <c r="AN19" s="3">
        <v>4</v>
      </c>
      <c r="AO19" s="3">
        <f t="shared" si="1"/>
        <v>0</v>
      </c>
      <c r="AP19" s="3">
        <v>3</v>
      </c>
      <c r="AQ19" s="86">
        <v>14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3:235" ht="6" customHeight="1">
      <c r="C20" s="11"/>
      <c r="Y20" s="2"/>
      <c r="Z20" s="2"/>
      <c r="AA20" s="3"/>
      <c r="AB20" s="3"/>
      <c r="AC20" s="3"/>
      <c r="AD20" s="3"/>
      <c r="AE20" s="2"/>
      <c r="AF20" s="2"/>
      <c r="AG20" s="2"/>
      <c r="AH20" s="2"/>
      <c r="AI20" s="2"/>
      <c r="AJ20" s="2"/>
      <c r="AK20" s="2"/>
      <c r="AL20" s="2"/>
      <c r="AM20" s="3">
        <f t="shared" si="0"/>
        <v>0</v>
      </c>
      <c r="AN20" s="3">
        <v>4</v>
      </c>
      <c r="AO20" s="3">
        <f t="shared" si="1"/>
        <v>0</v>
      </c>
      <c r="AP20" s="3">
        <v>4</v>
      </c>
      <c r="AQ20" s="86">
        <v>15</v>
      </c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12.75">
      <c r="A21" t="str">
        <f>IF(Eingabe!$C$15="spielfrei","","Tisch 1 :")</f>
        <v>Tisch 1 :</v>
      </c>
      <c r="C21" s="14" t="str">
        <f>Eingabe!$C$12</f>
        <v>Spieler 7</v>
      </c>
      <c r="D21" s="1" t="s">
        <v>1</v>
      </c>
      <c r="E21" s="14" t="str">
        <f>Eingabe!$C$15</f>
        <v>Spieler 10 / spielfrei</v>
      </c>
      <c r="F21" s="14"/>
      <c r="G21" s="1" t="s">
        <v>7</v>
      </c>
      <c r="H21" s="1" t="str">
        <f>IF($B$7="spielfrei"," ",":")</f>
        <v>:</v>
      </c>
      <c r="I21" s="5" t="str">
        <f>IF(G21&lt;=1,1-G21," ")</f>
        <v> </v>
      </c>
      <c r="J21" s="3"/>
      <c r="K21" s="14" t="str">
        <f>Eingabe!$C$11</f>
        <v>Spieler 6</v>
      </c>
      <c r="L21" s="1" t="s">
        <v>1</v>
      </c>
      <c r="M21" s="14" t="str">
        <f>Eingabe!$C$15</f>
        <v>Spieler 10 / spielfrei</v>
      </c>
      <c r="N21" s="14"/>
      <c r="O21" s="1" t="s">
        <v>7</v>
      </c>
      <c r="P21" s="1" t="str">
        <f>IF($B$7="spielfrei"," ",":")</f>
        <v>:</v>
      </c>
      <c r="Q21" s="5" t="str">
        <f>IF(O21&lt;=1,1-O21," ")</f>
        <v> </v>
      </c>
      <c r="R21" s="3"/>
      <c r="S21" s="14" t="str">
        <f>Eingabe!$C$10</f>
        <v>Spieler 5</v>
      </c>
      <c r="T21" s="1" t="s">
        <v>1</v>
      </c>
      <c r="U21" s="14" t="str">
        <f>Eingabe!$C$15</f>
        <v>Spieler 10 / spielfrei</v>
      </c>
      <c r="V21" s="14"/>
      <c r="W21" s="1" t="s">
        <v>7</v>
      </c>
      <c r="X21" s="1" t="str">
        <f>IF($B$7="spielfrei"," ",":")</f>
        <v>:</v>
      </c>
      <c r="Y21" s="3" t="str">
        <f>IF(W21&lt;=1,1-W21," ")</f>
        <v> </v>
      </c>
      <c r="Z21" s="3"/>
      <c r="AA21" s="3"/>
      <c r="AB21" s="3"/>
      <c r="AC21" s="3"/>
      <c r="AD21" s="3"/>
      <c r="AE21" s="2"/>
      <c r="AF21" s="2"/>
      <c r="AG21" s="2"/>
      <c r="AH21" s="2"/>
      <c r="AI21" s="2"/>
      <c r="AJ21" s="2"/>
      <c r="AK21" s="2"/>
      <c r="AL21" s="2"/>
      <c r="AM21" s="3">
        <f t="shared" si="0"/>
        <v>0</v>
      </c>
      <c r="AN21" s="3">
        <v>5</v>
      </c>
      <c r="AO21" s="3">
        <f t="shared" si="1"/>
        <v>0</v>
      </c>
      <c r="AP21" s="3">
        <v>4</v>
      </c>
      <c r="AQ21" s="86">
        <v>16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12.75">
      <c r="A22" t="str">
        <f>IF(Eingabe!$C$15="spielfrei","Tisch 1 :","Tisch 2 :")</f>
        <v>Tisch 2 :</v>
      </c>
      <c r="C22" s="14" t="str">
        <f>Eingabe!$C$11</f>
        <v>Spieler 6</v>
      </c>
      <c r="D22" s="1" t="s">
        <v>1</v>
      </c>
      <c r="E22" s="14" t="str">
        <f>Eingabe!$C$13</f>
        <v>Spieler 8</v>
      </c>
      <c r="F22" s="14"/>
      <c r="G22" s="1" t="s">
        <v>7</v>
      </c>
      <c r="H22" s="1" t="s">
        <v>1</v>
      </c>
      <c r="I22" s="5" t="str">
        <f>IF(G22&lt;=1,1-G22," ")</f>
        <v> </v>
      </c>
      <c r="J22" s="3"/>
      <c r="K22" s="14" t="str">
        <f>Eingabe!$C$10</f>
        <v>Spieler 5</v>
      </c>
      <c r="L22" s="1" t="s">
        <v>1</v>
      </c>
      <c r="M22" s="14" t="str">
        <f>Eingabe!$C$12</f>
        <v>Spieler 7</v>
      </c>
      <c r="N22" s="14"/>
      <c r="O22" s="1" t="s">
        <v>7</v>
      </c>
      <c r="P22" s="1" t="s">
        <v>1</v>
      </c>
      <c r="Q22" s="5" t="str">
        <f>IF(O22&lt;=1,1-O22," ")</f>
        <v> </v>
      </c>
      <c r="R22" s="3"/>
      <c r="S22" s="14" t="str">
        <f>Eingabe!$C$9</f>
        <v>Spieler 4</v>
      </c>
      <c r="T22" s="1" t="s">
        <v>1</v>
      </c>
      <c r="U22" s="14" t="str">
        <f>Eingabe!$C$11</f>
        <v>Spieler 6</v>
      </c>
      <c r="V22" s="14"/>
      <c r="W22" s="1" t="s">
        <v>7</v>
      </c>
      <c r="X22" s="1" t="s">
        <v>1</v>
      </c>
      <c r="Y22" s="3" t="str">
        <f>IF(W22&lt;=1,1-W22," ")</f>
        <v> </v>
      </c>
      <c r="Z22" s="3"/>
      <c r="AA22" s="3"/>
      <c r="AB22" s="3"/>
      <c r="AC22" s="3"/>
      <c r="AD22" s="3"/>
      <c r="AE22" s="2"/>
      <c r="AF22" s="2"/>
      <c r="AG22" s="2"/>
      <c r="AH22" s="2"/>
      <c r="AI22" s="2"/>
      <c r="AJ22" s="2"/>
      <c r="AK22" s="2"/>
      <c r="AL22" s="2"/>
      <c r="AM22" s="3">
        <f t="shared" si="0"/>
        <v>0</v>
      </c>
      <c r="AN22" s="3">
        <v>5</v>
      </c>
      <c r="AO22" s="3">
        <f t="shared" si="1"/>
        <v>0</v>
      </c>
      <c r="AP22" s="3">
        <v>4</v>
      </c>
      <c r="AQ22" s="86">
        <v>17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12.75">
      <c r="A23" t="str">
        <f>IF(Eingabe!$C$15="spielfrei","Tisch 2 :","Tisch 3 :")</f>
        <v>Tisch 3 :</v>
      </c>
      <c r="C23" s="14" t="str">
        <f>Eingabe!$C$10</f>
        <v>Spieler 5</v>
      </c>
      <c r="D23" s="1" t="s">
        <v>1</v>
      </c>
      <c r="E23" s="14" t="str">
        <f>Eingabe!$C$14</f>
        <v>Spieler 9</v>
      </c>
      <c r="F23" s="14"/>
      <c r="G23" s="1" t="s">
        <v>7</v>
      </c>
      <c r="H23" s="1" t="s">
        <v>1</v>
      </c>
      <c r="I23" s="5" t="str">
        <f>IF(G23&lt;=1,1-G23," ")</f>
        <v> </v>
      </c>
      <c r="J23" s="3"/>
      <c r="K23" s="14" t="str">
        <f>Eingabe!$C$9</f>
        <v>Spieler 4</v>
      </c>
      <c r="L23" s="1" t="s">
        <v>1</v>
      </c>
      <c r="M23" s="14" t="str">
        <f>Eingabe!$C$13</f>
        <v>Spieler 8</v>
      </c>
      <c r="N23" s="14"/>
      <c r="O23" s="1" t="s">
        <v>7</v>
      </c>
      <c r="P23" s="1" t="s">
        <v>1</v>
      </c>
      <c r="Q23" s="5" t="str">
        <f>IF(O23&lt;=1,1-O23," ")</f>
        <v> </v>
      </c>
      <c r="R23" s="3"/>
      <c r="S23" s="14" t="str">
        <f>Eingabe!$C$8</f>
        <v>Spieler 3</v>
      </c>
      <c r="T23" s="1" t="s">
        <v>1</v>
      </c>
      <c r="U23" s="14" t="str">
        <f>Eingabe!$C$12</f>
        <v>Spieler 7</v>
      </c>
      <c r="V23" s="14"/>
      <c r="W23" s="1" t="s">
        <v>7</v>
      </c>
      <c r="X23" s="1" t="s">
        <v>1</v>
      </c>
      <c r="Y23" s="3" t="str">
        <f>IF(W23&lt;=1,1-W23," ")</f>
        <v> </v>
      </c>
      <c r="Z23" s="3"/>
      <c r="AA23" s="3"/>
      <c r="AB23" s="3"/>
      <c r="AC23" s="3"/>
      <c r="AD23" s="3"/>
      <c r="AE23" s="2"/>
      <c r="AF23" s="2"/>
      <c r="AG23" s="2"/>
      <c r="AH23" s="2"/>
      <c r="AI23" s="2"/>
      <c r="AJ23" s="2"/>
      <c r="AK23" s="2"/>
      <c r="AL23" s="2"/>
      <c r="AM23" s="3">
        <f t="shared" si="0"/>
        <v>0</v>
      </c>
      <c r="AN23" s="3">
        <v>5</v>
      </c>
      <c r="AO23" s="3">
        <f t="shared" si="1"/>
        <v>0</v>
      </c>
      <c r="AP23" s="3">
        <v>4</v>
      </c>
      <c r="AQ23" s="86">
        <v>18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12.75">
      <c r="A24" t="str">
        <f>IF(Eingabe!$C$15="spielfrei","Tisch 3 :","Tisch 4 :")</f>
        <v>Tisch 4 :</v>
      </c>
      <c r="C24" s="14" t="str">
        <f>Eingabe!$C$9</f>
        <v>Spieler 4</v>
      </c>
      <c r="D24" s="1" t="s">
        <v>1</v>
      </c>
      <c r="E24" s="14" t="str">
        <f>Eingabe!$C$6</f>
        <v>Spieler 1</v>
      </c>
      <c r="F24" s="14"/>
      <c r="G24" s="1" t="s">
        <v>7</v>
      </c>
      <c r="H24" s="1" t="s">
        <v>1</v>
      </c>
      <c r="I24" s="5" t="str">
        <f>IF(G24&lt;=1,1-G24," ")</f>
        <v> </v>
      </c>
      <c r="J24" s="3"/>
      <c r="K24" s="14" t="str">
        <f>Eingabe!$C$8</f>
        <v>Spieler 3</v>
      </c>
      <c r="L24" s="1" t="s">
        <v>1</v>
      </c>
      <c r="M24" s="14" t="str">
        <f>Eingabe!$C$14</f>
        <v>Spieler 9</v>
      </c>
      <c r="N24" s="14"/>
      <c r="O24" s="1" t="s">
        <v>7</v>
      </c>
      <c r="P24" s="1" t="s">
        <v>1</v>
      </c>
      <c r="Q24" s="5" t="str">
        <f>IF(O24&lt;=1,1-O24," ")</f>
        <v> </v>
      </c>
      <c r="R24" s="3"/>
      <c r="S24" s="14" t="str">
        <f>Eingabe!$C$7</f>
        <v>Spieler 2</v>
      </c>
      <c r="T24" s="1" t="s">
        <v>1</v>
      </c>
      <c r="U24" s="14" t="str">
        <f>Eingabe!$C$13</f>
        <v>Spieler 8</v>
      </c>
      <c r="V24" s="14"/>
      <c r="W24" s="1" t="s">
        <v>7</v>
      </c>
      <c r="X24" s="1" t="s">
        <v>1</v>
      </c>
      <c r="Y24" s="3" t="str">
        <f>IF(W24&lt;=1,1-W24," ")</f>
        <v> </v>
      </c>
      <c r="Z24" s="3"/>
      <c r="AA24" s="3"/>
      <c r="AB24" s="3"/>
      <c r="AC24" s="3"/>
      <c r="AD24" s="3"/>
      <c r="AE24" s="2"/>
      <c r="AF24" s="2"/>
      <c r="AG24" s="2"/>
      <c r="AH24" s="2"/>
      <c r="AI24" s="2"/>
      <c r="AJ24" s="2"/>
      <c r="AK24" s="2"/>
      <c r="AL24" s="2"/>
      <c r="AM24" s="3">
        <f t="shared" si="0"/>
        <v>0</v>
      </c>
      <c r="AN24" s="3">
        <v>5</v>
      </c>
      <c r="AO24" s="3">
        <f t="shared" si="1"/>
        <v>0</v>
      </c>
      <c r="AP24" s="3">
        <v>4</v>
      </c>
      <c r="AQ24" s="86">
        <v>19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12.75">
      <c r="A25" t="str">
        <f>IF(Eingabe!$C$15="spielfrei","Tisch 4 :","Tisch 5 :")</f>
        <v>Tisch 5 :</v>
      </c>
      <c r="C25" s="14" t="str">
        <f>Eingabe!$C$8</f>
        <v>Spieler 3</v>
      </c>
      <c r="D25" s="1" t="s">
        <v>1</v>
      </c>
      <c r="E25" s="14" t="str">
        <f>Eingabe!$C$7</f>
        <v>Spieler 2</v>
      </c>
      <c r="F25" s="14"/>
      <c r="G25" s="1" t="s">
        <v>7</v>
      </c>
      <c r="H25" s="1" t="s">
        <v>1</v>
      </c>
      <c r="I25" s="5" t="str">
        <f>IF(G25&lt;=1,1-G25," ")</f>
        <v> </v>
      </c>
      <c r="J25" s="3"/>
      <c r="K25" s="14" t="str">
        <f>Eingabe!$C$7</f>
        <v>Spieler 2</v>
      </c>
      <c r="L25" s="1" t="s">
        <v>1</v>
      </c>
      <c r="M25" s="14" t="str">
        <f>Eingabe!$C$6</f>
        <v>Spieler 1</v>
      </c>
      <c r="N25" s="14"/>
      <c r="O25" s="1" t="s">
        <v>7</v>
      </c>
      <c r="P25" s="1" t="s">
        <v>1</v>
      </c>
      <c r="Q25" s="5" t="str">
        <f>IF(O25&lt;=1,1-O25," ")</f>
        <v> </v>
      </c>
      <c r="R25" s="3"/>
      <c r="S25" s="14" t="str">
        <f>Eingabe!$C$6</f>
        <v>Spieler 1</v>
      </c>
      <c r="T25" s="1" t="s">
        <v>1</v>
      </c>
      <c r="U25" s="14" t="str">
        <f>Eingabe!$C$14</f>
        <v>Spieler 9</v>
      </c>
      <c r="V25" s="14"/>
      <c r="W25" s="1" t="s">
        <v>7</v>
      </c>
      <c r="X25" s="1" t="s">
        <v>1</v>
      </c>
      <c r="Y25" s="3" t="str">
        <f>IF(W25&lt;=1,1-W25," ")</f>
        <v> </v>
      </c>
      <c r="Z25" s="3"/>
      <c r="AA25" s="3"/>
      <c r="AB25" s="3"/>
      <c r="AC25" s="3"/>
      <c r="AD25" s="3"/>
      <c r="AE25" s="2"/>
      <c r="AF25" s="2"/>
      <c r="AG25" s="2"/>
      <c r="AH25" s="2"/>
      <c r="AI25" s="2"/>
      <c r="AJ25" s="2"/>
      <c r="AK25" s="2"/>
      <c r="AL25" s="2"/>
      <c r="AM25" s="3">
        <f t="shared" si="0"/>
        <v>0</v>
      </c>
      <c r="AN25" s="3">
        <v>6</v>
      </c>
      <c r="AO25" s="3">
        <f t="shared" si="1"/>
        <v>0</v>
      </c>
      <c r="AP25" s="3">
        <v>5</v>
      </c>
      <c r="AQ25" s="86">
        <v>20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7:235" ht="12.75">
      <c r="G26" s="3"/>
      <c r="H26" s="2"/>
      <c r="I26" s="86"/>
      <c r="O26" s="1"/>
      <c r="Q26" s="141"/>
      <c r="W26" s="1"/>
      <c r="Y26" s="86"/>
      <c r="Z26" s="2"/>
      <c r="AA26" s="3"/>
      <c r="AB26" s="3"/>
      <c r="AC26" s="3"/>
      <c r="AD26" s="3"/>
      <c r="AE26" s="2"/>
      <c r="AF26" s="2"/>
      <c r="AG26" s="2"/>
      <c r="AH26" s="2"/>
      <c r="AI26" s="2"/>
      <c r="AJ26" s="2"/>
      <c r="AK26" s="2"/>
      <c r="AL26" s="2"/>
      <c r="AM26" s="3">
        <f t="shared" si="0"/>
        <v>0</v>
      </c>
      <c r="AN26" s="3">
        <v>6</v>
      </c>
      <c r="AO26" s="3">
        <f t="shared" si="1"/>
        <v>0</v>
      </c>
      <c r="AP26" s="3">
        <v>5</v>
      </c>
      <c r="AQ26" s="86">
        <v>21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25:235" ht="12.75">
      <c r="Y27" s="2"/>
      <c r="Z27" s="2"/>
      <c r="AA27" s="3"/>
      <c r="AB27" s="3"/>
      <c r="AC27" s="3"/>
      <c r="AD27" s="3"/>
      <c r="AE27" s="2"/>
      <c r="AF27" s="2"/>
      <c r="AG27" s="2"/>
      <c r="AH27" s="2"/>
      <c r="AI27" s="2"/>
      <c r="AJ27" s="2"/>
      <c r="AK27" s="2"/>
      <c r="AL27" s="2"/>
      <c r="AM27" s="3">
        <f t="shared" si="0"/>
        <v>0</v>
      </c>
      <c r="AN27" s="3">
        <v>6</v>
      </c>
      <c r="AO27" s="3">
        <f t="shared" si="1"/>
        <v>0</v>
      </c>
      <c r="AP27" s="3">
        <v>5</v>
      </c>
      <c r="AQ27" s="86">
        <v>22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4:235" ht="12.75">
      <c r="D28" s="11" t="s">
        <v>11</v>
      </c>
      <c r="L28" s="11" t="s">
        <v>12</v>
      </c>
      <c r="T28" s="11" t="s">
        <v>13</v>
      </c>
      <c r="Y28" s="2"/>
      <c r="Z28" s="2"/>
      <c r="AA28" s="3"/>
      <c r="AB28" s="3"/>
      <c r="AC28" s="3"/>
      <c r="AD28" s="3"/>
      <c r="AE28" s="2"/>
      <c r="AF28" s="2"/>
      <c r="AG28" s="2"/>
      <c r="AH28" s="2"/>
      <c r="AI28" s="2"/>
      <c r="AJ28" s="2"/>
      <c r="AK28" s="2"/>
      <c r="AL28" s="2"/>
      <c r="AM28" s="3">
        <f t="shared" si="0"/>
        <v>0</v>
      </c>
      <c r="AN28" s="3">
        <v>6</v>
      </c>
      <c r="AO28" s="3">
        <f t="shared" si="1"/>
        <v>0</v>
      </c>
      <c r="AP28" s="3">
        <v>5</v>
      </c>
      <c r="AQ28" s="86">
        <v>23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3:235" ht="6" customHeight="1">
      <c r="C29" s="11"/>
      <c r="G29" t="s">
        <v>7</v>
      </c>
      <c r="O29" t="s">
        <v>7</v>
      </c>
      <c r="W29" t="s">
        <v>7</v>
      </c>
      <c r="Y29" s="2"/>
      <c r="Z29" s="2"/>
      <c r="AA29" s="3"/>
      <c r="AB29" s="3"/>
      <c r="AC29" s="3"/>
      <c r="AD29" s="3"/>
      <c r="AE29" s="2"/>
      <c r="AF29" s="2"/>
      <c r="AG29" s="2"/>
      <c r="AH29" s="2"/>
      <c r="AI29" s="2"/>
      <c r="AJ29" s="2"/>
      <c r="AK29" s="2"/>
      <c r="AL29" s="2"/>
      <c r="AM29" s="3">
        <f t="shared" si="0"/>
        <v>0</v>
      </c>
      <c r="AN29" s="3">
        <v>7</v>
      </c>
      <c r="AO29" s="3">
        <f t="shared" si="1"/>
        <v>0</v>
      </c>
      <c r="AP29" s="3">
        <v>5</v>
      </c>
      <c r="AQ29" s="86">
        <v>24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12.75">
      <c r="A30" t="str">
        <f>IF(Eingabe!$C$15="spielfrei","","Tisch 1 :")</f>
        <v>Tisch 1 :</v>
      </c>
      <c r="C30" s="14" t="str">
        <f>Eingabe!$C$9</f>
        <v>Spieler 4</v>
      </c>
      <c r="D30" s="1" t="s">
        <v>1</v>
      </c>
      <c r="E30" s="14" t="str">
        <f>Eingabe!$C$15</f>
        <v>Spieler 10 / spielfrei</v>
      </c>
      <c r="F30" s="14"/>
      <c r="G30" s="1" t="s">
        <v>7</v>
      </c>
      <c r="H30" s="1" t="str">
        <f>IF($B$7="spielfrei"," ",":")</f>
        <v>:</v>
      </c>
      <c r="I30" s="5" t="str">
        <f>IF(G30&lt;=1,1-G30," ")</f>
        <v> </v>
      </c>
      <c r="J30" s="3"/>
      <c r="K30" s="14" t="str">
        <f>Eingabe!$C$8</f>
        <v>Spieler 3</v>
      </c>
      <c r="L30" s="1" t="s">
        <v>1</v>
      </c>
      <c r="M30" s="14" t="str">
        <f>Eingabe!$C$15</f>
        <v>Spieler 10 / spielfrei</v>
      </c>
      <c r="N30" s="14"/>
      <c r="O30" s="1" t="s">
        <v>7</v>
      </c>
      <c r="P30" s="1" t="str">
        <f>IF($B$7="spielfrei"," ",":")</f>
        <v>:</v>
      </c>
      <c r="Q30" s="5" t="str">
        <f>IF(O30&lt;=1,1-O30," ")</f>
        <v> </v>
      </c>
      <c r="R30" s="3"/>
      <c r="S30" s="14" t="str">
        <f>Eingabe!$C$7</f>
        <v>Spieler 2</v>
      </c>
      <c r="T30" s="1" t="s">
        <v>1</v>
      </c>
      <c r="U30" s="14" t="str">
        <f>Eingabe!$C$15</f>
        <v>Spieler 10 / spielfrei</v>
      </c>
      <c r="V30" s="14"/>
      <c r="W30" s="1" t="s">
        <v>7</v>
      </c>
      <c r="X30" s="1" t="str">
        <f>IF($B$7="spielfrei"," ",":")</f>
        <v>:</v>
      </c>
      <c r="Y30" s="3" t="str">
        <f>IF(W30&lt;=1,1-W30," ")</f>
        <v> </v>
      </c>
      <c r="Z30" s="3"/>
      <c r="AA30" s="3"/>
      <c r="AB30" s="3"/>
      <c r="AC30" s="3"/>
      <c r="AD30" s="3"/>
      <c r="AE30" s="2"/>
      <c r="AF30" s="2"/>
      <c r="AG30" s="2"/>
      <c r="AH30" s="2"/>
      <c r="AI30" s="2"/>
      <c r="AJ30" s="2"/>
      <c r="AK30" s="2"/>
      <c r="AL30" s="2"/>
      <c r="AM30" s="3">
        <f t="shared" si="0"/>
        <v>0</v>
      </c>
      <c r="AN30" s="3">
        <v>7</v>
      </c>
      <c r="AO30" s="3">
        <f t="shared" si="1"/>
        <v>0</v>
      </c>
      <c r="AP30" s="3">
        <v>6</v>
      </c>
      <c r="AQ30" s="86">
        <v>25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12.75">
      <c r="A31" t="str">
        <f>IF(Eingabe!$C$15="spielfrei","Tisch 1 :","Tisch 2 :")</f>
        <v>Tisch 2 :</v>
      </c>
      <c r="C31" s="14" t="str">
        <f>Eingabe!$C$8</f>
        <v>Spieler 3</v>
      </c>
      <c r="D31" s="1" t="s">
        <v>1</v>
      </c>
      <c r="E31" s="14" t="str">
        <f>Eingabe!$C$10</f>
        <v>Spieler 5</v>
      </c>
      <c r="F31" s="14"/>
      <c r="G31" s="1" t="s">
        <v>7</v>
      </c>
      <c r="H31" s="1" t="s">
        <v>1</v>
      </c>
      <c r="I31" s="5" t="str">
        <f>IF(G31&lt;=1,1-G31," ")</f>
        <v> </v>
      </c>
      <c r="J31" s="3"/>
      <c r="K31" s="14" t="str">
        <f>Eingabe!$C$7</f>
        <v>Spieler 2</v>
      </c>
      <c r="L31" s="1" t="s">
        <v>1</v>
      </c>
      <c r="M31" s="14" t="str">
        <f>Eingabe!$C$9</f>
        <v>Spieler 4</v>
      </c>
      <c r="N31" s="14"/>
      <c r="O31" s="1" t="s">
        <v>7</v>
      </c>
      <c r="P31" s="1" t="s">
        <v>1</v>
      </c>
      <c r="Q31" s="5" t="str">
        <f>IF(O31&lt;=1,1-O31," ")</f>
        <v> </v>
      </c>
      <c r="R31" s="3"/>
      <c r="S31" s="14" t="str">
        <f>Eingabe!$C$6</f>
        <v>Spieler 1</v>
      </c>
      <c r="T31" s="1" t="s">
        <v>1</v>
      </c>
      <c r="U31" s="14" t="str">
        <f>Eingabe!$C$8</f>
        <v>Spieler 3</v>
      </c>
      <c r="V31" s="14"/>
      <c r="W31" s="1" t="s">
        <v>7</v>
      </c>
      <c r="X31" s="1" t="s">
        <v>1</v>
      </c>
      <c r="Y31" s="3" t="str">
        <f>IF(W31&lt;=1,1-W31," ")</f>
        <v> </v>
      </c>
      <c r="Z31" s="3"/>
      <c r="AA31" s="3"/>
      <c r="AB31" s="3"/>
      <c r="AC31" s="3"/>
      <c r="AD31" s="3"/>
      <c r="AE31" s="2"/>
      <c r="AF31" s="2"/>
      <c r="AG31" s="2"/>
      <c r="AH31" s="2"/>
      <c r="AI31" s="2"/>
      <c r="AJ31" s="2"/>
      <c r="AK31" s="2"/>
      <c r="AL31" s="2"/>
      <c r="AM31" s="3">
        <f t="shared" si="0"/>
        <v>0</v>
      </c>
      <c r="AN31" s="3">
        <v>7</v>
      </c>
      <c r="AO31" s="3">
        <f t="shared" si="1"/>
        <v>0</v>
      </c>
      <c r="AP31" s="3">
        <v>6</v>
      </c>
      <c r="AQ31" s="86">
        <v>26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12.75">
      <c r="A32" t="str">
        <f>IF(Eingabe!$C$15="spielfrei","Tisch 2 :","Tisch 3 :")</f>
        <v>Tisch 3 :</v>
      </c>
      <c r="C32" s="14" t="str">
        <f>Eingabe!$C$7</f>
        <v>Spieler 2</v>
      </c>
      <c r="D32" s="1" t="s">
        <v>1</v>
      </c>
      <c r="E32" s="14" t="str">
        <f>Eingabe!$C$11</f>
        <v>Spieler 6</v>
      </c>
      <c r="F32" s="14"/>
      <c r="G32" s="1" t="s">
        <v>7</v>
      </c>
      <c r="H32" s="1" t="s">
        <v>1</v>
      </c>
      <c r="I32" s="5" t="str">
        <f>IF(G32&lt;=1,1-G32," ")</f>
        <v> </v>
      </c>
      <c r="J32" s="3"/>
      <c r="K32" s="14" t="str">
        <f>Eingabe!$C$6</f>
        <v>Spieler 1</v>
      </c>
      <c r="L32" s="1" t="s">
        <v>1</v>
      </c>
      <c r="M32" s="14" t="str">
        <f>Eingabe!$C$10</f>
        <v>Spieler 5</v>
      </c>
      <c r="N32" s="14"/>
      <c r="O32" s="1" t="s">
        <v>7</v>
      </c>
      <c r="P32" s="1" t="s">
        <v>1</v>
      </c>
      <c r="Q32" s="5" t="str">
        <f>IF(O32&lt;=1,1-O32," ")</f>
        <v> </v>
      </c>
      <c r="R32" s="3"/>
      <c r="S32" s="14" t="str">
        <f>Eingabe!$C$14</f>
        <v>Spieler 9</v>
      </c>
      <c r="T32" s="1" t="s">
        <v>1</v>
      </c>
      <c r="U32" s="14" t="str">
        <f>Eingabe!$C$9</f>
        <v>Spieler 4</v>
      </c>
      <c r="V32" s="14"/>
      <c r="W32" s="1" t="s">
        <v>7</v>
      </c>
      <c r="X32" s="1" t="s">
        <v>1</v>
      </c>
      <c r="Y32" s="3" t="str">
        <f>IF(W32&lt;=1,1-W32," ")</f>
        <v> </v>
      </c>
      <c r="Z32" s="3"/>
      <c r="AA32" s="3"/>
      <c r="AB32" s="3"/>
      <c r="AC32" s="3"/>
      <c r="AD32" s="3"/>
      <c r="AE32" s="2"/>
      <c r="AF32" s="2"/>
      <c r="AG32" s="2"/>
      <c r="AH32" s="2"/>
      <c r="AI32" s="2"/>
      <c r="AJ32" s="2"/>
      <c r="AK32" s="2"/>
      <c r="AL32" s="2"/>
      <c r="AM32" s="3">
        <f t="shared" si="0"/>
        <v>0</v>
      </c>
      <c r="AN32" s="3">
        <v>7</v>
      </c>
      <c r="AO32" s="3">
        <f t="shared" si="1"/>
        <v>0</v>
      </c>
      <c r="AP32" s="3">
        <v>6</v>
      </c>
      <c r="AQ32" s="86">
        <v>27</v>
      </c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12.75">
      <c r="A33" t="str">
        <f>IF(Eingabe!$C$15="spielfrei","Tisch 3 :","Tisch 4 :")</f>
        <v>Tisch 4 :</v>
      </c>
      <c r="C33" s="14" t="str">
        <f>Eingabe!$C$6</f>
        <v>Spieler 1</v>
      </c>
      <c r="D33" s="1" t="s">
        <v>1</v>
      </c>
      <c r="E33" s="14" t="str">
        <f>Eingabe!$C$12</f>
        <v>Spieler 7</v>
      </c>
      <c r="F33" s="14"/>
      <c r="G33" s="1" t="s">
        <v>7</v>
      </c>
      <c r="H33" s="1" t="s">
        <v>1</v>
      </c>
      <c r="I33" s="5" t="str">
        <f>IF(G33&lt;=1,1-G33," ")</f>
        <v> </v>
      </c>
      <c r="J33" s="3"/>
      <c r="K33" s="14" t="str">
        <f>Eingabe!$C$14</f>
        <v>Spieler 9</v>
      </c>
      <c r="L33" s="1" t="s">
        <v>1</v>
      </c>
      <c r="M33" s="14" t="str">
        <f>Eingabe!$C$11</f>
        <v>Spieler 6</v>
      </c>
      <c r="N33" s="14"/>
      <c r="O33" s="1" t="s">
        <v>7</v>
      </c>
      <c r="P33" s="1" t="s">
        <v>1</v>
      </c>
      <c r="Q33" s="5" t="str">
        <f>IF(O33&lt;=1,1-O33," ")</f>
        <v> </v>
      </c>
      <c r="R33" s="3"/>
      <c r="S33" s="14" t="str">
        <f>Eingabe!$C$13</f>
        <v>Spieler 8</v>
      </c>
      <c r="T33" s="1" t="s">
        <v>1</v>
      </c>
      <c r="U33" s="14" t="str">
        <f>Eingabe!$C$10</f>
        <v>Spieler 5</v>
      </c>
      <c r="V33" s="14"/>
      <c r="W33" s="1" t="s">
        <v>7</v>
      </c>
      <c r="X33" s="1" t="s">
        <v>1</v>
      </c>
      <c r="Y33" s="3" t="str">
        <f>IF(W33&lt;=1,1-W33," ")</f>
        <v> </v>
      </c>
      <c r="Z33" s="3"/>
      <c r="AA33" s="3"/>
      <c r="AB33" s="3"/>
      <c r="AC33" s="3"/>
      <c r="AD33" s="3"/>
      <c r="AE33" s="2"/>
      <c r="AF33" s="2"/>
      <c r="AG33" s="2"/>
      <c r="AH33" s="2"/>
      <c r="AI33" s="2"/>
      <c r="AJ33" s="2"/>
      <c r="AK33" s="2"/>
      <c r="AL33" s="2"/>
      <c r="AM33" s="3">
        <f t="shared" si="0"/>
        <v>0</v>
      </c>
      <c r="AN33" s="3">
        <v>8</v>
      </c>
      <c r="AO33" s="3">
        <f t="shared" si="1"/>
        <v>0</v>
      </c>
      <c r="AP33" s="3">
        <v>6</v>
      </c>
      <c r="AQ33" s="86">
        <v>28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12.75">
      <c r="A34" t="str">
        <f>IF(Eingabe!$C$15="spielfrei","Tisch 4 :","Tisch 5 :")</f>
        <v>Tisch 5 :</v>
      </c>
      <c r="C34" s="14" t="str">
        <f>Eingabe!$C$14</f>
        <v>Spieler 9</v>
      </c>
      <c r="D34" s="1" t="s">
        <v>1</v>
      </c>
      <c r="E34" s="14" t="str">
        <f>Eingabe!$C$13</f>
        <v>Spieler 8</v>
      </c>
      <c r="F34" s="14"/>
      <c r="G34" s="1" t="s">
        <v>7</v>
      </c>
      <c r="H34" s="1" t="s">
        <v>1</v>
      </c>
      <c r="I34" s="5" t="str">
        <f>IF(G34&lt;=1,1-G34," ")</f>
        <v> </v>
      </c>
      <c r="J34" s="3"/>
      <c r="K34" s="14" t="str">
        <f>Eingabe!$C$13</f>
        <v>Spieler 8</v>
      </c>
      <c r="L34" s="1" t="s">
        <v>1</v>
      </c>
      <c r="M34" s="14" t="str">
        <f>Eingabe!$C$12</f>
        <v>Spieler 7</v>
      </c>
      <c r="N34" s="14"/>
      <c r="O34" s="1" t="s">
        <v>7</v>
      </c>
      <c r="P34" s="1" t="s">
        <v>1</v>
      </c>
      <c r="Q34" s="5" t="str">
        <f>IF(O34&lt;=1,1-O34," ")</f>
        <v> </v>
      </c>
      <c r="R34" s="3"/>
      <c r="S34" s="14" t="str">
        <f>Eingabe!$C$12</f>
        <v>Spieler 7</v>
      </c>
      <c r="T34" s="1" t="s">
        <v>1</v>
      </c>
      <c r="U34" s="14" t="str">
        <f>Eingabe!$C$11</f>
        <v>Spieler 6</v>
      </c>
      <c r="V34" s="14"/>
      <c r="W34" s="1" t="s">
        <v>7</v>
      </c>
      <c r="X34" s="1" t="s">
        <v>1</v>
      </c>
      <c r="Y34" s="3" t="str">
        <f>IF(W34&lt;=1,1-W34," ")</f>
        <v> </v>
      </c>
      <c r="Z34" s="3"/>
      <c r="AA34" s="3"/>
      <c r="AB34" s="3"/>
      <c r="AC34" s="3"/>
      <c r="AD34" s="3"/>
      <c r="AE34" s="2"/>
      <c r="AF34" s="2"/>
      <c r="AG34" s="2"/>
      <c r="AH34" s="2"/>
      <c r="AI34" s="2"/>
      <c r="AJ34" s="2"/>
      <c r="AK34" s="2"/>
      <c r="AL34" s="2"/>
      <c r="AM34" s="3">
        <f t="shared" si="0"/>
        <v>0</v>
      </c>
      <c r="AN34" s="3">
        <v>8</v>
      </c>
      <c r="AO34" s="3">
        <f t="shared" si="1"/>
        <v>0</v>
      </c>
      <c r="AP34" s="3">
        <v>6</v>
      </c>
      <c r="AQ34" s="3">
        <v>29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23:235" ht="12.75">
      <c r="W35" s="1"/>
      <c r="Y35" s="2"/>
      <c r="Z35" s="2"/>
      <c r="AA35" s="3"/>
      <c r="AB35" s="3"/>
      <c r="AC35" s="3"/>
      <c r="AD35" s="3"/>
      <c r="AE35" s="2"/>
      <c r="AF35" s="2"/>
      <c r="AG35" s="2"/>
      <c r="AH35" s="2"/>
      <c r="AI35" s="2"/>
      <c r="AJ35" s="2"/>
      <c r="AK35" s="2"/>
      <c r="AL35" s="2"/>
      <c r="AM35" s="3">
        <f t="shared" si="0"/>
        <v>0</v>
      </c>
      <c r="AN35" s="3">
        <v>8</v>
      </c>
      <c r="AO35" s="3">
        <f t="shared" si="1"/>
        <v>0</v>
      </c>
      <c r="AP35" s="86">
        <v>7</v>
      </c>
      <c r="AQ35" s="86">
        <v>30</v>
      </c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</row>
    <row r="36" spans="25:235" ht="12.75">
      <c r="Y36" s="2"/>
      <c r="Z36" s="2"/>
      <c r="AA36" s="3"/>
      <c r="AB36" s="3"/>
      <c r="AC36" s="3"/>
      <c r="AD36" s="3"/>
      <c r="AE36" s="2"/>
      <c r="AF36" s="2"/>
      <c r="AG36" s="2"/>
      <c r="AH36" s="2"/>
      <c r="AI36" s="2"/>
      <c r="AJ36" s="2"/>
      <c r="AK36" s="2"/>
      <c r="AL36" s="2"/>
      <c r="AM36" s="3">
        <f t="shared" si="0"/>
        <v>0</v>
      </c>
      <c r="AN36" s="3">
        <v>8</v>
      </c>
      <c r="AO36" s="3">
        <f t="shared" si="1"/>
        <v>0</v>
      </c>
      <c r="AP36" s="86">
        <v>7</v>
      </c>
      <c r="AQ36" s="86">
        <v>31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25:43" ht="12.75">
      <c r="Y37" s="2"/>
      <c r="Z37" s="2"/>
      <c r="AA37" s="3"/>
      <c r="AB37" s="3"/>
      <c r="AM37" s="3">
        <f t="shared" si="0"/>
        <v>0</v>
      </c>
      <c r="AN37" s="3">
        <v>9</v>
      </c>
      <c r="AO37" s="3">
        <f t="shared" si="1"/>
        <v>0</v>
      </c>
      <c r="AP37" s="86">
        <v>7</v>
      </c>
      <c r="AQ37" s="1">
        <v>32</v>
      </c>
    </row>
    <row r="38" spans="25:43" ht="12.75">
      <c r="Y38" s="2"/>
      <c r="Z38" s="2"/>
      <c r="AA38" s="3"/>
      <c r="AB38" s="3"/>
      <c r="AM38" s="3">
        <f t="shared" si="0"/>
        <v>0</v>
      </c>
      <c r="AN38" s="86">
        <v>9</v>
      </c>
      <c r="AO38" s="3">
        <f t="shared" si="1"/>
        <v>0</v>
      </c>
      <c r="AP38" s="86">
        <v>7</v>
      </c>
      <c r="AQ38" s="1">
        <v>33</v>
      </c>
    </row>
    <row r="39" spans="25:43" ht="12.75">
      <c r="Y39" s="2"/>
      <c r="Z39" s="2"/>
      <c r="AA39" s="3"/>
      <c r="AB39" s="3"/>
      <c r="AM39" s="3">
        <f t="shared" si="0"/>
        <v>0</v>
      </c>
      <c r="AN39" s="86">
        <v>9</v>
      </c>
      <c r="AO39" s="3">
        <f t="shared" si="1"/>
        <v>0</v>
      </c>
      <c r="AP39" s="86">
        <v>7</v>
      </c>
      <c r="AQ39" s="1">
        <v>34</v>
      </c>
    </row>
    <row r="40" spans="25:43" ht="12.75">
      <c r="Y40" s="2"/>
      <c r="Z40" s="2"/>
      <c r="AA40" s="3"/>
      <c r="AB40" s="3"/>
      <c r="AM40" s="3">
        <f t="shared" si="0"/>
        <v>0</v>
      </c>
      <c r="AN40" s="86">
        <v>9</v>
      </c>
      <c r="AO40" s="3">
        <f t="shared" si="1"/>
        <v>0</v>
      </c>
      <c r="AP40" s="86">
        <v>8</v>
      </c>
      <c r="AQ40" s="1">
        <v>35</v>
      </c>
    </row>
    <row r="41" spans="25:43" ht="12.75">
      <c r="Y41" s="2"/>
      <c r="Z41" s="2"/>
      <c r="AA41" s="3"/>
      <c r="AB41" s="3"/>
      <c r="AM41" s="3">
        <f t="shared" si="0"/>
        <v>0</v>
      </c>
      <c r="AN41" s="86">
        <v>9</v>
      </c>
      <c r="AO41" s="3">
        <f t="shared" si="1"/>
        <v>0</v>
      </c>
      <c r="AP41" s="86">
        <v>8</v>
      </c>
      <c r="AQ41" s="1">
        <v>36</v>
      </c>
    </row>
    <row r="42" spans="25:43" ht="12.75">
      <c r="Y42" s="2"/>
      <c r="Z42" s="2"/>
      <c r="AA42" s="3"/>
      <c r="AB42" s="3"/>
      <c r="AO42" s="3">
        <f t="shared" si="1"/>
        <v>0</v>
      </c>
      <c r="AP42" s="86">
        <v>8</v>
      </c>
      <c r="AQ42" s="1">
        <v>37</v>
      </c>
    </row>
    <row r="43" spans="25:43" ht="12.75">
      <c r="Y43" s="2"/>
      <c r="Z43" s="2"/>
      <c r="AA43" s="3"/>
      <c r="AB43" s="3"/>
      <c r="AO43" s="3">
        <f t="shared" si="1"/>
        <v>0</v>
      </c>
      <c r="AP43" s="86">
        <v>8</v>
      </c>
      <c r="AQ43" s="1">
        <v>38</v>
      </c>
    </row>
    <row r="44" spans="39:43" ht="12.75">
      <c r="AM44" s="3"/>
      <c r="AN44" s="3"/>
      <c r="AO44" s="3">
        <f t="shared" si="1"/>
        <v>0</v>
      </c>
      <c r="AP44" s="3">
        <v>8</v>
      </c>
      <c r="AQ44" s="3">
        <v>39</v>
      </c>
    </row>
    <row r="45" spans="41:43" ht="12.75">
      <c r="AO45" s="3">
        <f t="shared" si="1"/>
        <v>0</v>
      </c>
      <c r="AP45" s="86">
        <v>9</v>
      </c>
      <c r="AQ45" s="1">
        <v>40</v>
      </c>
    </row>
    <row r="46" spans="41:43" ht="12.75">
      <c r="AO46" s="3">
        <f t="shared" si="1"/>
        <v>0</v>
      </c>
      <c r="AP46" s="86">
        <v>9</v>
      </c>
      <c r="AQ46" s="1">
        <v>41</v>
      </c>
    </row>
    <row r="47" spans="41:43" ht="12.75">
      <c r="AO47" s="3">
        <f t="shared" si="1"/>
        <v>0</v>
      </c>
      <c r="AP47" s="86">
        <v>9</v>
      </c>
      <c r="AQ47" s="1">
        <v>42</v>
      </c>
    </row>
    <row r="48" spans="41:43" ht="12.75">
      <c r="AO48" s="3">
        <f t="shared" si="1"/>
        <v>0</v>
      </c>
      <c r="AP48" s="86">
        <v>9</v>
      </c>
      <c r="AQ48" s="1">
        <v>43</v>
      </c>
    </row>
    <row r="49" spans="41:43" ht="12.75">
      <c r="AO49" s="3">
        <f t="shared" si="1"/>
        <v>0</v>
      </c>
      <c r="AP49" s="86">
        <v>9</v>
      </c>
      <c r="AQ49" s="1">
        <v>44</v>
      </c>
    </row>
    <row r="50" spans="39:43" ht="12.75">
      <c r="AM50" s="3"/>
      <c r="AN50" s="3"/>
      <c r="AO50" s="3">
        <f t="shared" si="1"/>
        <v>0</v>
      </c>
      <c r="AP50" s="3">
        <v>9</v>
      </c>
      <c r="AQ50" s="3">
        <v>45</v>
      </c>
    </row>
    <row r="51" spans="39:43" ht="12.75">
      <c r="AM51" s="3">
        <f>SUM(AM5:AM41)</f>
        <v>0</v>
      </c>
      <c r="AN51" s="3"/>
      <c r="AO51" s="3">
        <f>SUM(AO5:AO50)</f>
        <v>1</v>
      </c>
      <c r="AP51" s="3"/>
      <c r="AQ51" s="3">
        <f>IF(COUNTA(G1)=1,G1,AM51+AO51)</f>
        <v>1</v>
      </c>
    </row>
  </sheetData>
  <mergeCells count="15">
    <mergeCell ref="V1:Y1"/>
    <mergeCell ref="N6:Q6"/>
    <mergeCell ref="D1:E1"/>
    <mergeCell ref="B1:C1"/>
    <mergeCell ref="H1:R1"/>
    <mergeCell ref="R6:U6"/>
    <mergeCell ref="B8:U8"/>
    <mergeCell ref="B4:E4"/>
    <mergeCell ref="B6:E6"/>
    <mergeCell ref="F6:I6"/>
    <mergeCell ref="F4:I4"/>
    <mergeCell ref="J4:M4"/>
    <mergeCell ref="N4:Q4"/>
    <mergeCell ref="R4:U4"/>
    <mergeCell ref="J6:M6"/>
  </mergeCells>
  <conditionalFormatting sqref="D1:E1">
    <cfRule type="expression" priority="1" dxfId="0" stopIfTrue="1">
      <formula>$G1&gt;0</formula>
    </cfRule>
  </conditionalFormatting>
  <conditionalFormatting sqref="F1">
    <cfRule type="expression" priority="2" dxfId="1" stopIfTrue="1">
      <formula>$G1&gt;0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BU45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57421875" style="1" customWidth="1"/>
    <col min="3" max="3" width="22.00390625" style="0" customWidth="1"/>
    <col min="4" max="13" width="5.421875" style="0" customWidth="1"/>
    <col min="17" max="17" width="2.7109375" style="0" customWidth="1"/>
    <col min="26" max="26" width="11.421875" style="0" hidden="1" customWidth="1"/>
    <col min="27" max="27" width="5.421875" style="2" hidden="1" customWidth="1"/>
    <col min="28" max="28" width="25.421875" style="2" hidden="1" customWidth="1"/>
    <col min="29" max="36" width="5.421875" style="2" hidden="1" customWidth="1"/>
    <col min="37" max="37" width="5.421875" style="90" hidden="1" customWidth="1"/>
    <col min="38" max="38" width="5.421875" style="0" hidden="1" customWidth="1"/>
    <col min="39" max="41" width="11.421875" style="0" hidden="1" customWidth="1"/>
    <col min="42" max="42" width="11.421875" style="90" hidden="1" customWidth="1"/>
    <col min="43" max="43" width="11.421875" style="0" hidden="1" customWidth="1"/>
  </cols>
  <sheetData>
    <row r="2" spans="2:36" ht="24.75" customHeight="1">
      <c r="B2" s="175" t="str">
        <f>Eingabe!$G$3</f>
        <v>z. B. Monatsblitzturnier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13"/>
      <c r="N2" s="2"/>
      <c r="O2" s="32" t="s">
        <v>3</v>
      </c>
      <c r="P2" s="33" t="str">
        <f>P18</f>
        <v>??.??.????</v>
      </c>
      <c r="AA2" s="16"/>
      <c r="AB2" s="16"/>
      <c r="AC2" s="16"/>
      <c r="AD2" s="31"/>
      <c r="AE2" s="16"/>
      <c r="AF2" s="16"/>
      <c r="AG2" s="16"/>
      <c r="AH2" s="16"/>
      <c r="AI2" s="16"/>
      <c r="AJ2" s="16"/>
    </row>
    <row r="3" spans="2:42" s="18" customFormat="1" ht="13.5" thickBot="1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9"/>
      <c r="N3" s="2"/>
      <c r="O3" s="2"/>
      <c r="P3" s="2"/>
      <c r="AP3" s="90"/>
    </row>
    <row r="4" spans="1:73" s="8" customFormat="1" ht="24.75" customHeight="1">
      <c r="A4" s="6"/>
      <c r="B4" s="20" t="s">
        <v>14</v>
      </c>
      <c r="C4" s="21" t="s">
        <v>15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7">
        <v>10</v>
      </c>
      <c r="N4" s="20" t="s">
        <v>16</v>
      </c>
      <c r="O4" s="52" t="s">
        <v>17</v>
      </c>
      <c r="P4" s="22" t="s">
        <v>18</v>
      </c>
      <c r="Q4" s="9"/>
      <c r="R4" s="9"/>
      <c r="S4" s="9"/>
      <c r="T4" s="9"/>
      <c r="U4" s="9"/>
      <c r="V4" s="9"/>
      <c r="W4" s="9"/>
      <c r="X4" s="9"/>
      <c r="Y4" s="9"/>
      <c r="Z4" s="9"/>
      <c r="AA4" s="20"/>
      <c r="AB4" s="21" t="s">
        <v>15</v>
      </c>
      <c r="AC4" s="23">
        <v>1</v>
      </c>
      <c r="AD4" s="23">
        <v>2</v>
      </c>
      <c r="AE4" s="23">
        <v>3</v>
      </c>
      <c r="AF4" s="23">
        <v>4</v>
      </c>
      <c r="AG4" s="23">
        <v>5</v>
      </c>
      <c r="AH4" s="23">
        <v>6</v>
      </c>
      <c r="AI4" s="23">
        <v>7</v>
      </c>
      <c r="AJ4" s="23">
        <v>8</v>
      </c>
      <c r="AK4" s="23">
        <v>9</v>
      </c>
      <c r="AL4" s="27">
        <v>10</v>
      </c>
      <c r="AM4" s="20" t="s">
        <v>16</v>
      </c>
      <c r="AN4" s="52" t="s">
        <v>17</v>
      </c>
      <c r="AO4" s="22" t="s">
        <v>18</v>
      </c>
      <c r="AP4" s="91"/>
      <c r="AQ4" s="93" t="s">
        <v>27</v>
      </c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2:73" ht="24.75" customHeight="1">
      <c r="B5" s="10">
        <v>1</v>
      </c>
      <c r="C5" s="25" t="str">
        <f aca="true" t="shared" si="0" ref="C5:C14">AB21</f>
        <v>Spieler 1</v>
      </c>
      <c r="D5" s="66"/>
      <c r="E5" s="67" t="str">
        <f aca="true" t="shared" si="1" ref="E5:M5">AD35</f>
        <v> </v>
      </c>
      <c r="F5" s="67" t="str">
        <f t="shared" si="1"/>
        <v> </v>
      </c>
      <c r="G5" s="67" t="str">
        <f t="shared" si="1"/>
        <v> </v>
      </c>
      <c r="H5" s="67" t="str">
        <f t="shared" si="1"/>
        <v> </v>
      </c>
      <c r="I5" s="67" t="str">
        <f t="shared" si="1"/>
        <v> </v>
      </c>
      <c r="J5" s="67" t="str">
        <f t="shared" si="1"/>
        <v> </v>
      </c>
      <c r="K5" s="67" t="str">
        <f t="shared" si="1"/>
        <v> </v>
      </c>
      <c r="L5" s="67" t="str">
        <f t="shared" si="1"/>
        <v> </v>
      </c>
      <c r="M5" s="28" t="str">
        <f t="shared" si="1"/>
        <v> </v>
      </c>
      <c r="N5" s="75" t="str">
        <f aca="true" t="shared" si="2" ref="N5:N14">AM21</f>
        <v> </v>
      </c>
      <c r="O5" s="55">
        <f aca="true" t="shared" si="3" ref="O5:O14">AN21</f>
      </c>
      <c r="P5" s="59" t="str">
        <f aca="true" t="shared" si="4" ref="P5:P14">AO21</f>
        <v> </v>
      </c>
      <c r="Q5" s="2"/>
      <c r="R5" s="2"/>
      <c r="S5" s="2"/>
      <c r="T5" s="2"/>
      <c r="U5" s="2"/>
      <c r="V5" s="2"/>
      <c r="W5" s="2"/>
      <c r="X5" s="2"/>
      <c r="Y5" s="2"/>
      <c r="Z5" s="2">
        <f>RANK(AQ5,$AQ$5:$AQ$14,0)</f>
        <v>1</v>
      </c>
      <c r="AA5" s="10">
        <v>1</v>
      </c>
      <c r="AB5" s="25" t="str">
        <f>Eingabe!$C$6</f>
        <v>Spieler 1</v>
      </c>
      <c r="AC5" s="66" t="s">
        <v>7</v>
      </c>
      <c r="AD5" s="67" t="str">
        <f>'10 Spieler'!$Q$25</f>
        <v> </v>
      </c>
      <c r="AE5" s="67" t="str">
        <f>'10 Spieler'!$W$31</f>
        <v> </v>
      </c>
      <c r="AF5" s="67" t="str">
        <f>'10 Spieler'!$I$24</f>
        <v> </v>
      </c>
      <c r="AG5" s="67" t="str">
        <f>'10 Spieler'!$O$32</f>
        <v> </v>
      </c>
      <c r="AH5" s="67" t="str">
        <f>'10 Spieler'!$Y$14</f>
        <v> </v>
      </c>
      <c r="AI5" s="67" t="str">
        <f>'10 Spieler'!$G$33</f>
        <v> </v>
      </c>
      <c r="AJ5" s="67" t="str">
        <f>'10 Spieler'!$Q$13</f>
        <v> </v>
      </c>
      <c r="AK5" s="67" t="str">
        <f>'10 Spieler'!$W$25</f>
        <v> </v>
      </c>
      <c r="AL5" s="28" t="str">
        <f>'10 Spieler'!$G$12</f>
        <v> </v>
      </c>
      <c r="AM5" s="75" t="str">
        <f aca="true" t="shared" si="5" ref="AM5:AM14">N21</f>
        <v> </v>
      </c>
      <c r="AN5" s="55">
        <f aca="true" t="shared" si="6" ref="AN5:AN14">O21</f>
      </c>
      <c r="AO5" s="59" t="str">
        <f aca="true" t="shared" si="7" ref="AO5:AO14">P21</f>
        <v> </v>
      </c>
      <c r="AP5" s="88">
        <v>1</v>
      </c>
      <c r="AQ5" s="3">
        <f>'Tabelle 10'!N5</f>
        <v>0.1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2:73" ht="24.75" customHeight="1">
      <c r="B6" s="10">
        <v>2</v>
      </c>
      <c r="C6" s="25" t="str">
        <f t="shared" si="0"/>
        <v>Spieler 2</v>
      </c>
      <c r="D6" s="67" t="str">
        <f aca="true" t="shared" si="8" ref="D6:D14">AC36</f>
        <v> </v>
      </c>
      <c r="E6" s="66"/>
      <c r="F6" s="67" t="str">
        <f aca="true" t="shared" si="9" ref="F6:M6">AE36</f>
        <v> </v>
      </c>
      <c r="G6" s="67" t="str">
        <f t="shared" si="9"/>
        <v> </v>
      </c>
      <c r="H6" s="67" t="str">
        <f t="shared" si="9"/>
        <v> </v>
      </c>
      <c r="I6" s="67" t="str">
        <f t="shared" si="9"/>
        <v> </v>
      </c>
      <c r="J6" s="67" t="str">
        <f t="shared" si="9"/>
        <v> </v>
      </c>
      <c r="K6" s="67" t="str">
        <f t="shared" si="9"/>
        <v> </v>
      </c>
      <c r="L6" s="67" t="str">
        <f t="shared" si="9"/>
        <v> </v>
      </c>
      <c r="M6" s="28" t="str">
        <f t="shared" si="9"/>
        <v> </v>
      </c>
      <c r="N6" s="75" t="str">
        <f t="shared" si="2"/>
        <v> </v>
      </c>
      <c r="O6" s="55">
        <f t="shared" si="3"/>
      </c>
      <c r="P6" s="59" t="str">
        <f t="shared" si="4"/>
        <v> </v>
      </c>
      <c r="Q6" s="2"/>
      <c r="R6" s="2"/>
      <c r="S6" s="2"/>
      <c r="T6" s="2"/>
      <c r="U6" s="2"/>
      <c r="V6" s="2"/>
      <c r="W6" s="2"/>
      <c r="X6" s="2"/>
      <c r="Y6" s="2"/>
      <c r="Z6" s="2">
        <f aca="true" t="shared" si="10" ref="Z6:Z14">RANK(AQ6,$AQ$5:$AQ$14,0)</f>
        <v>2</v>
      </c>
      <c r="AA6" s="10">
        <v>2</v>
      </c>
      <c r="AB6" s="25" t="str">
        <f>Eingabe!$C$7</f>
        <v>Spieler 2</v>
      </c>
      <c r="AC6" s="67" t="str">
        <f>'10 Spieler'!$O$25</f>
        <v> </v>
      </c>
      <c r="AD6" s="66" t="s">
        <v>7</v>
      </c>
      <c r="AE6" s="67" t="str">
        <f>'10 Spieler'!$I$25</f>
        <v> </v>
      </c>
      <c r="AF6" s="67" t="str">
        <f>'10 Spieler'!$O$31</f>
        <v> </v>
      </c>
      <c r="AG6" s="67" t="str">
        <f>'10 Spieler'!$Y$15</f>
        <v> </v>
      </c>
      <c r="AH6" s="67" t="str">
        <f>'10 Spieler'!$G$32</f>
        <v> </v>
      </c>
      <c r="AI6" s="67" t="str">
        <f>'10 Spieler'!$Q$14</f>
        <v> </v>
      </c>
      <c r="AJ6" s="67" t="str">
        <f>'10 Spieler'!$W$24</f>
        <v> </v>
      </c>
      <c r="AK6" s="67" t="str">
        <f>'10 Spieler'!$I$13</f>
        <v> </v>
      </c>
      <c r="AL6" s="28" t="str">
        <f>'10 Spieler'!$W$30</f>
        <v> </v>
      </c>
      <c r="AM6" s="75" t="str">
        <f t="shared" si="5"/>
        <v> </v>
      </c>
      <c r="AN6" s="55">
        <f t="shared" si="6"/>
      </c>
      <c r="AO6" s="59" t="str">
        <f t="shared" si="7"/>
        <v> </v>
      </c>
      <c r="AP6" s="88">
        <v>2</v>
      </c>
      <c r="AQ6" s="3">
        <f>'Tabelle 10'!N6</f>
        <v>0.09</v>
      </c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2:73" ht="24.75" customHeight="1">
      <c r="B7" s="10">
        <v>3</v>
      </c>
      <c r="C7" s="25" t="str">
        <f t="shared" si="0"/>
        <v>Spieler 3</v>
      </c>
      <c r="D7" s="67" t="str">
        <f t="shared" si="8"/>
        <v> </v>
      </c>
      <c r="E7" s="67" t="str">
        <f aca="true" t="shared" si="11" ref="E7:E14">AD37</f>
        <v> </v>
      </c>
      <c r="F7" s="66"/>
      <c r="G7" s="67" t="str">
        <f aca="true" t="shared" si="12" ref="G7:M7">AF37</f>
        <v> </v>
      </c>
      <c r="H7" s="67" t="str">
        <f t="shared" si="12"/>
        <v> </v>
      </c>
      <c r="I7" s="67" t="str">
        <f t="shared" si="12"/>
        <v> </v>
      </c>
      <c r="J7" s="67" t="str">
        <f t="shared" si="12"/>
        <v> </v>
      </c>
      <c r="K7" s="67" t="str">
        <f t="shared" si="12"/>
        <v> </v>
      </c>
      <c r="L7" s="67" t="str">
        <f t="shared" si="12"/>
        <v> </v>
      </c>
      <c r="M7" s="28" t="str">
        <f t="shared" si="12"/>
        <v> </v>
      </c>
      <c r="N7" s="75" t="str">
        <f t="shared" si="2"/>
        <v> </v>
      </c>
      <c r="O7" s="55">
        <f t="shared" si="3"/>
      </c>
      <c r="P7" s="59" t="str">
        <f t="shared" si="4"/>
        <v> </v>
      </c>
      <c r="Q7" s="2"/>
      <c r="R7" s="2"/>
      <c r="S7" s="2"/>
      <c r="T7" s="2"/>
      <c r="U7" s="2"/>
      <c r="V7" s="2"/>
      <c r="W7" s="2"/>
      <c r="X7" s="2"/>
      <c r="Y7" s="2"/>
      <c r="Z7" s="2">
        <f t="shared" si="10"/>
        <v>3</v>
      </c>
      <c r="AA7" s="10">
        <v>3</v>
      </c>
      <c r="AB7" s="25" t="str">
        <f>Eingabe!$C$8</f>
        <v>Spieler 3</v>
      </c>
      <c r="AC7" s="67" t="str">
        <f>'10 Spieler'!$Y$31</f>
        <v> </v>
      </c>
      <c r="AD7" s="67" t="str">
        <f>'10 Spieler'!$G$25</f>
        <v> </v>
      </c>
      <c r="AE7" s="66" t="s">
        <v>7</v>
      </c>
      <c r="AF7" s="67" t="str">
        <f>'10 Spieler'!$Y$16</f>
        <v> </v>
      </c>
      <c r="AG7" s="67" t="str">
        <f>'10 Spieler'!$G$31</f>
        <v> </v>
      </c>
      <c r="AH7" s="67" t="str">
        <f>'10 Spieler'!$Q$15</f>
        <v> </v>
      </c>
      <c r="AI7" s="67" t="str">
        <f>'10 Spieler'!$W$23</f>
        <v> </v>
      </c>
      <c r="AJ7" s="67" t="str">
        <f>'10 Spieler'!$I$14</f>
        <v> </v>
      </c>
      <c r="AK7" s="67" t="str">
        <f>'10 Spieler'!$O$24</f>
        <v> </v>
      </c>
      <c r="AL7" s="28" t="str">
        <f>'10 Spieler'!$O$30</f>
        <v> </v>
      </c>
      <c r="AM7" s="75" t="str">
        <f t="shared" si="5"/>
        <v> </v>
      </c>
      <c r="AN7" s="55">
        <f t="shared" si="6"/>
      </c>
      <c r="AO7" s="59" t="str">
        <f t="shared" si="7"/>
        <v> </v>
      </c>
      <c r="AP7" s="88">
        <v>3</v>
      </c>
      <c r="AQ7" s="3">
        <f>'Tabelle 10'!N7</f>
        <v>0.08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ht="24.75" customHeight="1">
      <c r="B8" s="10">
        <v>4</v>
      </c>
      <c r="C8" s="25" t="str">
        <f t="shared" si="0"/>
        <v>Spieler 4</v>
      </c>
      <c r="D8" s="67" t="str">
        <f t="shared" si="8"/>
        <v> </v>
      </c>
      <c r="E8" s="67" t="str">
        <f t="shared" si="11"/>
        <v> </v>
      </c>
      <c r="F8" s="67" t="str">
        <f aca="true" t="shared" si="13" ref="F8:F14">AE38</f>
        <v> </v>
      </c>
      <c r="G8" s="66"/>
      <c r="H8" s="67" t="str">
        <f aca="true" t="shared" si="14" ref="H8:M8">AG38</f>
        <v> </v>
      </c>
      <c r="I8" s="67" t="str">
        <f t="shared" si="14"/>
        <v> </v>
      </c>
      <c r="J8" s="67" t="str">
        <f t="shared" si="14"/>
        <v> </v>
      </c>
      <c r="K8" s="67" t="str">
        <f t="shared" si="14"/>
        <v> </v>
      </c>
      <c r="L8" s="67" t="str">
        <f t="shared" si="14"/>
        <v> </v>
      </c>
      <c r="M8" s="28" t="str">
        <f t="shared" si="14"/>
        <v> </v>
      </c>
      <c r="N8" s="75" t="str">
        <f t="shared" si="2"/>
        <v> </v>
      </c>
      <c r="O8" s="55">
        <f t="shared" si="3"/>
      </c>
      <c r="P8" s="59" t="str">
        <f t="shared" si="4"/>
        <v> </v>
      </c>
      <c r="Q8" s="2"/>
      <c r="R8" s="2"/>
      <c r="S8" s="2"/>
      <c r="T8" s="2"/>
      <c r="U8" s="2"/>
      <c r="V8" s="2"/>
      <c r="W8" s="2"/>
      <c r="X8" s="2"/>
      <c r="Y8" s="2"/>
      <c r="Z8" s="2">
        <f t="shared" si="10"/>
        <v>4</v>
      </c>
      <c r="AA8" s="10">
        <v>4</v>
      </c>
      <c r="AB8" s="25" t="str">
        <f>Eingabe!$C$9</f>
        <v>Spieler 4</v>
      </c>
      <c r="AC8" s="67" t="str">
        <f>'10 Spieler'!$G$24</f>
        <v> </v>
      </c>
      <c r="AD8" s="67" t="str">
        <f>'10 Spieler'!$Q$31</f>
        <v> </v>
      </c>
      <c r="AE8" s="67" t="str">
        <f>'10 Spieler'!$W$16</f>
        <v> </v>
      </c>
      <c r="AF8" s="66" t="s">
        <v>7</v>
      </c>
      <c r="AG8" s="67" t="str">
        <f>'10 Spieler'!$Q$16</f>
        <v> </v>
      </c>
      <c r="AH8" s="67" t="str">
        <f>'10 Spieler'!$W$22</f>
        <v> </v>
      </c>
      <c r="AI8" s="67" t="str">
        <f>'10 Spieler'!$I$15</f>
        <v> </v>
      </c>
      <c r="AJ8" s="67" t="str">
        <f>'10 Spieler'!$O$23</f>
        <v> </v>
      </c>
      <c r="AK8" s="67" t="str">
        <f>'10 Spieler'!$Y$32</f>
        <v> </v>
      </c>
      <c r="AL8" s="28" t="str">
        <f>'10 Spieler'!$G$30</f>
        <v> </v>
      </c>
      <c r="AM8" s="75" t="str">
        <f t="shared" si="5"/>
        <v> </v>
      </c>
      <c r="AN8" s="55">
        <f t="shared" si="6"/>
      </c>
      <c r="AO8" s="59" t="str">
        <f t="shared" si="7"/>
        <v> </v>
      </c>
      <c r="AP8" s="92">
        <v>4</v>
      </c>
      <c r="AQ8" s="3">
        <f>'Tabelle 10'!N8</f>
        <v>0.07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2:73" ht="24.75" customHeight="1">
      <c r="B9" s="10">
        <v>5</v>
      </c>
      <c r="C9" s="25" t="str">
        <f t="shared" si="0"/>
        <v>Spieler 5</v>
      </c>
      <c r="D9" s="67" t="str">
        <f t="shared" si="8"/>
        <v> </v>
      </c>
      <c r="E9" s="67" t="str">
        <f t="shared" si="11"/>
        <v> </v>
      </c>
      <c r="F9" s="67" t="str">
        <f t="shared" si="13"/>
        <v> </v>
      </c>
      <c r="G9" s="67" t="str">
        <f aca="true" t="shared" si="15" ref="G9:G14">AF39</f>
        <v> </v>
      </c>
      <c r="H9" s="66"/>
      <c r="I9" s="67" t="str">
        <f>AH39</f>
        <v> </v>
      </c>
      <c r="J9" s="67" t="str">
        <f>AI39</f>
        <v> </v>
      </c>
      <c r="K9" s="67" t="str">
        <f>AJ39</f>
        <v> </v>
      </c>
      <c r="L9" s="67" t="str">
        <f>AK39</f>
        <v> </v>
      </c>
      <c r="M9" s="28" t="str">
        <f>AL39</f>
        <v> </v>
      </c>
      <c r="N9" s="75" t="str">
        <f t="shared" si="2"/>
        <v> </v>
      </c>
      <c r="O9" s="55">
        <f t="shared" si="3"/>
      </c>
      <c r="P9" s="59" t="str">
        <f t="shared" si="4"/>
        <v> </v>
      </c>
      <c r="Q9" s="2"/>
      <c r="R9" s="2"/>
      <c r="S9" s="2"/>
      <c r="T9" s="2"/>
      <c r="U9" s="2"/>
      <c r="V9" s="2"/>
      <c r="W9" s="2"/>
      <c r="X9" s="2"/>
      <c r="Y9" s="2"/>
      <c r="Z9" s="2">
        <f t="shared" si="10"/>
        <v>5</v>
      </c>
      <c r="AA9" s="10">
        <v>5</v>
      </c>
      <c r="AB9" s="25" t="str">
        <f>Eingabe!$C$10</f>
        <v>Spieler 5</v>
      </c>
      <c r="AC9" s="67" t="str">
        <f>'10 Spieler'!$Q$32</f>
        <v> </v>
      </c>
      <c r="AD9" s="67" t="str">
        <f>'10 Spieler'!$W$15</f>
        <v> </v>
      </c>
      <c r="AE9" s="67" t="str">
        <f>'10 Spieler'!$I$31</f>
        <v> </v>
      </c>
      <c r="AF9" s="67" t="str">
        <f>'10 Spieler'!$O$16</f>
        <v> </v>
      </c>
      <c r="AG9" s="66" t="s">
        <v>7</v>
      </c>
      <c r="AH9" s="67" t="str">
        <f>'10 Spieler'!$I$16</f>
        <v> </v>
      </c>
      <c r="AI9" s="67" t="str">
        <f>'10 Spieler'!$O$22</f>
        <v> </v>
      </c>
      <c r="AJ9" s="67" t="str">
        <f>'10 Spieler'!$Y$33</f>
        <v> </v>
      </c>
      <c r="AK9" s="67" t="str">
        <f>'10 Spieler'!$G$23</f>
        <v> </v>
      </c>
      <c r="AL9" s="28" t="str">
        <f>'10 Spieler'!$W$21</f>
        <v> </v>
      </c>
      <c r="AM9" s="75" t="str">
        <f t="shared" si="5"/>
        <v> </v>
      </c>
      <c r="AN9" s="55">
        <f t="shared" si="6"/>
      </c>
      <c r="AO9" s="59" t="str">
        <f t="shared" si="7"/>
        <v> </v>
      </c>
      <c r="AP9" s="92">
        <v>5</v>
      </c>
      <c r="AQ9" s="3">
        <f>'Tabelle 10'!N9</f>
        <v>0.06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2:73" ht="24.75" customHeight="1">
      <c r="B10" s="10">
        <v>6</v>
      </c>
      <c r="C10" s="25" t="str">
        <f t="shared" si="0"/>
        <v>Spieler 6</v>
      </c>
      <c r="D10" s="67" t="str">
        <f t="shared" si="8"/>
        <v> </v>
      </c>
      <c r="E10" s="67" t="str">
        <f t="shared" si="11"/>
        <v> </v>
      </c>
      <c r="F10" s="67" t="str">
        <f t="shared" si="13"/>
        <v> </v>
      </c>
      <c r="G10" s="67" t="str">
        <f t="shared" si="15"/>
        <v> </v>
      </c>
      <c r="H10" s="67" t="str">
        <f>AG40</f>
        <v> </v>
      </c>
      <c r="I10" s="66"/>
      <c r="J10" s="67" t="str">
        <f>AI40</f>
        <v> </v>
      </c>
      <c r="K10" s="67" t="str">
        <f>AJ40</f>
        <v> </v>
      </c>
      <c r="L10" s="67" t="str">
        <f>AK40</f>
        <v> </v>
      </c>
      <c r="M10" s="28" t="str">
        <f>AL40</f>
        <v> </v>
      </c>
      <c r="N10" s="75" t="str">
        <f t="shared" si="2"/>
        <v> </v>
      </c>
      <c r="O10" s="55">
        <f t="shared" si="3"/>
      </c>
      <c r="P10" s="59" t="str">
        <f t="shared" si="4"/>
        <v> </v>
      </c>
      <c r="Q10" s="2"/>
      <c r="R10" s="2"/>
      <c r="S10" s="2"/>
      <c r="T10" s="2"/>
      <c r="U10" s="2"/>
      <c r="V10" s="2"/>
      <c r="W10" s="2"/>
      <c r="X10" s="2"/>
      <c r="Y10" s="2"/>
      <c r="Z10" s="2">
        <f t="shared" si="10"/>
        <v>6</v>
      </c>
      <c r="AA10" s="10">
        <v>6</v>
      </c>
      <c r="AB10" s="25" t="str">
        <f>Eingabe!$C$11</f>
        <v>Spieler 6</v>
      </c>
      <c r="AC10" s="67" t="str">
        <f>'10 Spieler'!$W$14</f>
        <v> </v>
      </c>
      <c r="AD10" s="67" t="str">
        <f>'10 Spieler'!$I$32</f>
        <v> </v>
      </c>
      <c r="AE10" s="67" t="str">
        <f>'10 Spieler'!$O$15</f>
        <v> </v>
      </c>
      <c r="AF10" s="67" t="str">
        <f>'10 Spieler'!$Y$22</f>
        <v> </v>
      </c>
      <c r="AG10" s="67" t="str">
        <f>'10 Spieler'!$G$16</f>
        <v> </v>
      </c>
      <c r="AH10" s="66" t="s">
        <v>7</v>
      </c>
      <c r="AI10" s="67" t="str">
        <f>'10 Spieler'!$Y$34</f>
        <v> </v>
      </c>
      <c r="AJ10" s="67" t="str">
        <f>'10 Spieler'!$G$22</f>
        <v> </v>
      </c>
      <c r="AK10" s="67" t="str">
        <f>'10 Spieler'!$Q$33</f>
        <v> </v>
      </c>
      <c r="AL10" s="28" t="str">
        <f>'10 Spieler'!$O$21</f>
        <v> </v>
      </c>
      <c r="AM10" s="75" t="str">
        <f t="shared" si="5"/>
        <v> </v>
      </c>
      <c r="AN10" s="55">
        <f t="shared" si="6"/>
      </c>
      <c r="AO10" s="59" t="str">
        <f t="shared" si="7"/>
        <v> </v>
      </c>
      <c r="AP10" s="92">
        <v>6</v>
      </c>
      <c r="AQ10" s="3">
        <f>'Tabelle 10'!N10</f>
        <v>0.05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2:73" ht="24.75" customHeight="1">
      <c r="B11" s="10">
        <v>7</v>
      </c>
      <c r="C11" s="25" t="str">
        <f t="shared" si="0"/>
        <v>Spieler 7</v>
      </c>
      <c r="D11" s="67" t="str">
        <f t="shared" si="8"/>
        <v> </v>
      </c>
      <c r="E11" s="67" t="str">
        <f t="shared" si="11"/>
        <v> </v>
      </c>
      <c r="F11" s="67" t="str">
        <f t="shared" si="13"/>
        <v> </v>
      </c>
      <c r="G11" s="67" t="str">
        <f t="shared" si="15"/>
        <v> </v>
      </c>
      <c r="H11" s="67" t="str">
        <f>AG41</f>
        <v> </v>
      </c>
      <c r="I11" s="67" t="str">
        <f>AH41</f>
        <v> </v>
      </c>
      <c r="J11" s="66"/>
      <c r="K11" s="67" t="str">
        <f>AJ41</f>
        <v> </v>
      </c>
      <c r="L11" s="67" t="str">
        <f>AK41</f>
        <v> </v>
      </c>
      <c r="M11" s="28" t="str">
        <f>AL41</f>
        <v> </v>
      </c>
      <c r="N11" s="75" t="str">
        <f t="shared" si="2"/>
        <v> </v>
      </c>
      <c r="O11" s="55">
        <f t="shared" si="3"/>
      </c>
      <c r="P11" s="59" t="str">
        <f t="shared" si="4"/>
        <v> </v>
      </c>
      <c r="Q11" s="2"/>
      <c r="R11" s="2"/>
      <c r="S11" s="2"/>
      <c r="T11" s="2"/>
      <c r="U11" s="2"/>
      <c r="V11" s="2"/>
      <c r="W11" s="2"/>
      <c r="X11" s="2"/>
      <c r="Y11" s="2"/>
      <c r="Z11" s="2">
        <f t="shared" si="10"/>
        <v>7</v>
      </c>
      <c r="AA11" s="10">
        <v>7</v>
      </c>
      <c r="AB11" s="25" t="str">
        <f>Eingabe!$C$12</f>
        <v>Spieler 7</v>
      </c>
      <c r="AC11" s="67" t="str">
        <f>'10 Spieler'!$I$33</f>
        <v> </v>
      </c>
      <c r="AD11" s="67" t="str">
        <f>'10 Spieler'!$O$14</f>
        <v> </v>
      </c>
      <c r="AE11" s="67" t="str">
        <f>'10 Spieler'!$Y$23</f>
        <v> </v>
      </c>
      <c r="AF11" s="67" t="str">
        <f>'10 Spieler'!$G$15</f>
        <v> </v>
      </c>
      <c r="AG11" s="67" t="str">
        <f>'10 Spieler'!$Q$22</f>
        <v> </v>
      </c>
      <c r="AH11" s="67" t="str">
        <f>'10 Spieler'!$W$34</f>
        <v> </v>
      </c>
      <c r="AI11" s="66" t="s">
        <v>7</v>
      </c>
      <c r="AJ11" s="67" t="str">
        <f>'10 Spieler'!$Q$34</f>
        <v> </v>
      </c>
      <c r="AK11" s="67" t="str">
        <f>'10 Spieler'!$W$13</f>
        <v> </v>
      </c>
      <c r="AL11" s="28" t="str">
        <f>'10 Spieler'!$G$21</f>
        <v> </v>
      </c>
      <c r="AM11" s="75" t="str">
        <f t="shared" si="5"/>
        <v> </v>
      </c>
      <c r="AN11" s="55">
        <f t="shared" si="6"/>
      </c>
      <c r="AO11" s="59" t="str">
        <f t="shared" si="7"/>
        <v> </v>
      </c>
      <c r="AP11" s="92">
        <v>7</v>
      </c>
      <c r="AQ11" s="3">
        <f>'Tabelle 10'!N11</f>
        <v>0.04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2:73" ht="24.75" customHeight="1">
      <c r="B12" s="10">
        <v>8</v>
      </c>
      <c r="C12" s="25" t="str">
        <f t="shared" si="0"/>
        <v>Spieler 8</v>
      </c>
      <c r="D12" s="67" t="str">
        <f t="shared" si="8"/>
        <v> </v>
      </c>
      <c r="E12" s="67" t="str">
        <f t="shared" si="11"/>
        <v> </v>
      </c>
      <c r="F12" s="67" t="str">
        <f t="shared" si="13"/>
        <v> </v>
      </c>
      <c r="G12" s="67" t="str">
        <f t="shared" si="15"/>
        <v> </v>
      </c>
      <c r="H12" s="67" t="str">
        <f>AG42</f>
        <v> </v>
      </c>
      <c r="I12" s="67" t="str">
        <f>AH42</f>
        <v> </v>
      </c>
      <c r="J12" s="67" t="str">
        <f>AI42</f>
        <v> </v>
      </c>
      <c r="K12" s="66"/>
      <c r="L12" s="67" t="str">
        <f>AK42</f>
        <v> </v>
      </c>
      <c r="M12" s="28" t="str">
        <f>AL42</f>
        <v> </v>
      </c>
      <c r="N12" s="75" t="str">
        <f t="shared" si="2"/>
        <v> </v>
      </c>
      <c r="O12" s="55">
        <f t="shared" si="3"/>
      </c>
      <c r="P12" s="59" t="str">
        <f t="shared" si="4"/>
        <v> </v>
      </c>
      <c r="Q12" s="2"/>
      <c r="R12" s="2"/>
      <c r="S12" s="2"/>
      <c r="T12" s="2"/>
      <c r="U12" s="2"/>
      <c r="V12" s="2"/>
      <c r="W12" s="2"/>
      <c r="X12" s="2"/>
      <c r="Y12" s="2"/>
      <c r="Z12" s="2">
        <f t="shared" si="10"/>
        <v>8</v>
      </c>
      <c r="AA12" s="10">
        <v>8</v>
      </c>
      <c r="AB12" s="25" t="str">
        <f>Eingabe!$C$13</f>
        <v>Spieler 8</v>
      </c>
      <c r="AC12" s="67" t="str">
        <f>'10 Spieler'!$O$13</f>
        <v> </v>
      </c>
      <c r="AD12" s="67" t="str">
        <f>'10 Spieler'!$Y$24</f>
        <v> </v>
      </c>
      <c r="AE12" s="67" t="str">
        <f>'10 Spieler'!$G$14</f>
        <v> </v>
      </c>
      <c r="AF12" s="67" t="str">
        <f>'10 Spieler'!$Q$23</f>
        <v> </v>
      </c>
      <c r="AG12" s="67" t="str">
        <f>'10 Spieler'!$W$33</f>
        <v> </v>
      </c>
      <c r="AH12" s="67" t="str">
        <f>'10 Spieler'!$I$22</f>
        <v> </v>
      </c>
      <c r="AI12" s="67" t="str">
        <f>'10 Spieler'!$O$34</f>
        <v> </v>
      </c>
      <c r="AJ12" s="66" t="s">
        <v>7</v>
      </c>
      <c r="AK12" s="67" t="str">
        <f>'10 Spieler'!$I$34</f>
        <v> </v>
      </c>
      <c r="AL12" s="28" t="str">
        <f>'10 Spieler'!$W$12</f>
        <v> </v>
      </c>
      <c r="AM12" s="75" t="str">
        <f t="shared" si="5"/>
        <v> </v>
      </c>
      <c r="AN12" s="55">
        <f t="shared" si="6"/>
      </c>
      <c r="AO12" s="59" t="str">
        <f t="shared" si="7"/>
        <v> </v>
      </c>
      <c r="AP12" s="92">
        <v>8</v>
      </c>
      <c r="AQ12" s="3">
        <f>'Tabelle 10'!N12</f>
        <v>0.03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2:73" ht="24.75" customHeight="1">
      <c r="B13" s="10">
        <v>9</v>
      </c>
      <c r="C13" s="25" t="str">
        <f t="shared" si="0"/>
        <v>Spieler 9</v>
      </c>
      <c r="D13" s="67" t="str">
        <f t="shared" si="8"/>
        <v> </v>
      </c>
      <c r="E13" s="67" t="str">
        <f t="shared" si="11"/>
        <v> </v>
      </c>
      <c r="F13" s="67" t="str">
        <f t="shared" si="13"/>
        <v> </v>
      </c>
      <c r="G13" s="67" t="str">
        <f t="shared" si="15"/>
        <v> </v>
      </c>
      <c r="H13" s="67" t="str">
        <f>AG43</f>
        <v> </v>
      </c>
      <c r="I13" s="67" t="str">
        <f>AH43</f>
        <v> </v>
      </c>
      <c r="J13" s="67" t="str">
        <f>AI43</f>
        <v> </v>
      </c>
      <c r="K13" s="67" t="str">
        <f>AJ43</f>
        <v> </v>
      </c>
      <c r="L13" s="66"/>
      <c r="M13" s="28" t="str">
        <f>AL43</f>
        <v> </v>
      </c>
      <c r="N13" s="75" t="str">
        <f t="shared" si="2"/>
        <v> </v>
      </c>
      <c r="O13" s="55">
        <f t="shared" si="3"/>
      </c>
      <c r="P13" s="59" t="str">
        <f t="shared" si="4"/>
        <v> </v>
      </c>
      <c r="Q13" s="2"/>
      <c r="R13" s="2"/>
      <c r="S13" s="2"/>
      <c r="T13" s="2"/>
      <c r="U13" s="2"/>
      <c r="V13" s="2"/>
      <c r="W13" s="2"/>
      <c r="X13" s="2"/>
      <c r="Y13" s="2"/>
      <c r="Z13" s="2">
        <f t="shared" si="10"/>
        <v>9</v>
      </c>
      <c r="AA13" s="10">
        <v>9</v>
      </c>
      <c r="AB13" s="25" t="str">
        <f>Eingabe!$C$14</f>
        <v>Spieler 9</v>
      </c>
      <c r="AC13" s="67" t="str">
        <f>'10 Spieler'!$Y$25</f>
        <v> </v>
      </c>
      <c r="AD13" s="67" t="str">
        <f>'10 Spieler'!$G$13</f>
        <v> </v>
      </c>
      <c r="AE13" s="67" t="str">
        <f>'10 Spieler'!$Q$24</f>
        <v> </v>
      </c>
      <c r="AF13" s="67" t="str">
        <f>'10 Spieler'!$W$32</f>
        <v> </v>
      </c>
      <c r="AG13" s="67" t="str">
        <f>'10 Spieler'!$I$23</f>
        <v> </v>
      </c>
      <c r="AH13" s="67" t="str">
        <f>'10 Spieler'!$O$33</f>
        <v> </v>
      </c>
      <c r="AI13" s="67" t="str">
        <f>'10 Spieler'!$Y$13</f>
        <v> </v>
      </c>
      <c r="AJ13" s="67" t="str">
        <f>'10 Spieler'!$G$34</f>
        <v> </v>
      </c>
      <c r="AK13" s="66" t="s">
        <v>7</v>
      </c>
      <c r="AL13" s="28" t="str">
        <f>'10 Spieler'!$O$12</f>
        <v> </v>
      </c>
      <c r="AM13" s="75" t="str">
        <f t="shared" si="5"/>
        <v> </v>
      </c>
      <c r="AN13" s="55">
        <f t="shared" si="6"/>
      </c>
      <c r="AO13" s="59" t="str">
        <f t="shared" si="7"/>
        <v> </v>
      </c>
      <c r="AP13" s="92">
        <v>9</v>
      </c>
      <c r="AQ13" s="3">
        <f>'Tabelle 10'!N13</f>
        <v>0.02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2:73" ht="24.75" customHeight="1" thickBot="1">
      <c r="B14" s="24">
        <v>10</v>
      </c>
      <c r="C14" s="26" t="str">
        <f t="shared" si="0"/>
        <v>Spieler 10 / spielfrei</v>
      </c>
      <c r="D14" s="68" t="str">
        <f t="shared" si="8"/>
        <v> </v>
      </c>
      <c r="E14" s="68" t="str">
        <f t="shared" si="11"/>
        <v> </v>
      </c>
      <c r="F14" s="68" t="str">
        <f t="shared" si="13"/>
        <v> </v>
      </c>
      <c r="G14" s="68" t="str">
        <f t="shared" si="15"/>
        <v> </v>
      </c>
      <c r="H14" s="68" t="str">
        <f>AG44</f>
        <v> </v>
      </c>
      <c r="I14" s="68" t="str">
        <f>AH44</f>
        <v> </v>
      </c>
      <c r="J14" s="68" t="str">
        <f>AI44</f>
        <v> </v>
      </c>
      <c r="K14" s="68" t="str">
        <f>AJ44</f>
        <v> </v>
      </c>
      <c r="L14" s="68" t="str">
        <f>AK44</f>
        <v> </v>
      </c>
      <c r="M14" s="69"/>
      <c r="N14" s="76" t="str">
        <f t="shared" si="2"/>
        <v> </v>
      </c>
      <c r="O14" s="56">
        <f t="shared" si="3"/>
      </c>
      <c r="P14" s="60" t="str">
        <f t="shared" si="4"/>
        <v> </v>
      </c>
      <c r="Q14" s="2"/>
      <c r="R14" s="2"/>
      <c r="S14" s="2"/>
      <c r="T14" s="2"/>
      <c r="U14" s="2"/>
      <c r="V14" s="2"/>
      <c r="W14" s="2"/>
      <c r="X14" s="2"/>
      <c r="Y14" s="2"/>
      <c r="Z14" s="2">
        <f t="shared" si="10"/>
        <v>10</v>
      </c>
      <c r="AA14" s="24">
        <v>10</v>
      </c>
      <c r="AB14" s="26" t="str">
        <f>Eingabe!$C$15</f>
        <v>Spieler 10 / spielfrei</v>
      </c>
      <c r="AC14" s="68" t="str">
        <f>'10 Spieler'!$I$12</f>
        <v> </v>
      </c>
      <c r="AD14" s="68" t="str">
        <f>'10 Spieler'!$Y$30</f>
        <v> </v>
      </c>
      <c r="AE14" s="68" t="str">
        <f>'10 Spieler'!$Q$30</f>
        <v> </v>
      </c>
      <c r="AF14" s="68" t="str">
        <f>'10 Spieler'!$I$30</f>
        <v> </v>
      </c>
      <c r="AG14" s="68" t="str">
        <f>'10 Spieler'!$Y$21</f>
        <v> </v>
      </c>
      <c r="AH14" s="68" t="str">
        <f>'10 Spieler'!$Q$21</f>
        <v> </v>
      </c>
      <c r="AI14" s="68" t="str">
        <f>'10 Spieler'!$I$21</f>
        <v> </v>
      </c>
      <c r="AJ14" s="68" t="str">
        <f>'10 Spieler'!$Y$12</f>
        <v> </v>
      </c>
      <c r="AK14" s="68" t="str">
        <f>'10 Spieler'!$Q$12</f>
        <v> </v>
      </c>
      <c r="AL14" s="69" t="s">
        <v>7</v>
      </c>
      <c r="AM14" s="76" t="str">
        <f t="shared" si="5"/>
        <v> </v>
      </c>
      <c r="AN14" s="56">
        <f t="shared" si="6"/>
      </c>
      <c r="AO14" s="60" t="str">
        <f t="shared" si="7"/>
        <v> </v>
      </c>
      <c r="AP14" s="92">
        <v>10</v>
      </c>
      <c r="AQ14" s="3">
        <f>'Tabelle 10'!N14</f>
        <v>0.01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8" spans="2:73" ht="24.75" customHeight="1">
      <c r="B18" s="77" t="str">
        <f>Eingabe!$G$3</f>
        <v>z. B. Monatsblitzturnier</v>
      </c>
      <c r="C18" s="12"/>
      <c r="D18" s="16"/>
      <c r="E18" s="16"/>
      <c r="F18" s="12"/>
      <c r="G18" s="31"/>
      <c r="H18" s="16"/>
      <c r="I18" s="16"/>
      <c r="J18" s="16"/>
      <c r="K18" s="16"/>
      <c r="L18" s="16"/>
      <c r="M18" s="16"/>
      <c r="O18" s="32" t="s">
        <v>3</v>
      </c>
      <c r="P18" s="33" t="str">
        <f>Eingabe!G2</f>
        <v>??.??.????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8"/>
      <c r="AL18" s="2"/>
      <c r="AM18" s="2"/>
      <c r="AN18" s="2"/>
      <c r="AO18" s="2"/>
      <c r="AP18" s="88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2:73" ht="24.75" customHeight="1" thickBot="1"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"/>
      <c r="R19" s="2"/>
      <c r="S19" s="2"/>
      <c r="T19" s="2"/>
      <c r="U19" s="2"/>
      <c r="V19" s="2"/>
      <c r="W19" s="2"/>
      <c r="X19" s="2"/>
      <c r="Y19" s="2"/>
      <c r="Z19" s="2"/>
      <c r="AA19" s="89"/>
      <c r="AB19" s="18"/>
      <c r="AM19" s="2"/>
      <c r="AN19" s="2"/>
      <c r="AO19" s="2"/>
      <c r="AP19" s="88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8" customFormat="1" ht="24.75" customHeight="1" thickBot="1">
      <c r="A20" s="6"/>
      <c r="B20" s="20" t="s">
        <v>14</v>
      </c>
      <c r="C20" s="21" t="s">
        <v>15</v>
      </c>
      <c r="D20" s="23">
        <v>1</v>
      </c>
      <c r="E20" s="23">
        <v>2</v>
      </c>
      <c r="F20" s="23">
        <v>3</v>
      </c>
      <c r="G20" s="23">
        <v>4</v>
      </c>
      <c r="H20" s="23">
        <v>5</v>
      </c>
      <c r="I20" s="23">
        <v>6</v>
      </c>
      <c r="J20" s="23">
        <v>7</v>
      </c>
      <c r="K20" s="23">
        <v>8</v>
      </c>
      <c r="L20" s="23">
        <v>9</v>
      </c>
      <c r="M20" s="27">
        <v>10</v>
      </c>
      <c r="N20" s="20" t="s">
        <v>16</v>
      </c>
      <c r="O20" s="52" t="s">
        <v>17</v>
      </c>
      <c r="P20" s="22" t="s">
        <v>18</v>
      </c>
      <c r="Q20" s="9"/>
      <c r="R20" s="9"/>
      <c r="S20" s="9"/>
      <c r="T20" s="9"/>
      <c r="U20" s="9"/>
      <c r="V20" s="9"/>
      <c r="W20" s="9"/>
      <c r="X20" s="9"/>
      <c r="Y20" s="9"/>
      <c r="Z20" s="9"/>
      <c r="AP20" s="94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2:73" ht="24.75" customHeight="1">
      <c r="B21" s="10">
        <v>1</v>
      </c>
      <c r="C21" s="25" t="str">
        <f>Eingabe!$C$6</f>
        <v>Spieler 1</v>
      </c>
      <c r="D21" s="66" t="s">
        <v>7</v>
      </c>
      <c r="E21" s="67" t="str">
        <f>'10 Spieler'!$Q$25</f>
        <v> </v>
      </c>
      <c r="F21" s="67" t="str">
        <f>'10 Spieler'!$W$31</f>
        <v> </v>
      </c>
      <c r="G21" s="67" t="str">
        <f>'10 Spieler'!$I$24</f>
        <v> </v>
      </c>
      <c r="H21" s="67" t="str">
        <f>'10 Spieler'!$O$32</f>
        <v> </v>
      </c>
      <c r="I21" s="67" t="str">
        <f>'10 Spieler'!$Y$14</f>
        <v> </v>
      </c>
      <c r="J21" s="67" t="str">
        <f>'10 Spieler'!$G$33</f>
        <v> </v>
      </c>
      <c r="K21" s="67" t="str">
        <f>'10 Spieler'!$Q$13</f>
        <v> </v>
      </c>
      <c r="L21" s="67" t="str">
        <f>'10 Spieler'!$W$25</f>
        <v> </v>
      </c>
      <c r="M21" s="28" t="str">
        <f>'10 Spieler'!$G$12</f>
        <v> </v>
      </c>
      <c r="N21" s="75" t="str">
        <f aca="true" t="shared" si="16" ref="N21:N29">IF(COUNT($M$21,$L$22,$K$23,$J$24,$I$25,$H$26,$G$27,$F$28,$E$29,$D$30)&gt;0,SUM(D21:M21)," ")</f>
        <v> </v>
      </c>
      <c r="O21" s="55">
        <f aca="true" t="shared" si="17" ref="O21:O30">IF(COUNT($M$21,$L$22,$K$23,$J$24,$I$25,$H$26,$G$27,$F$28,$E$29,$D$30)&gt;0,IF(OR(D21=1,D21=0.5),D21*$N$21,0)+IF(OR(E21=1,E21=0.5),E21*$N$22,0)+IF(OR(F21=1,F21=0.5),F21*$N$23,0)+IF(OR(G21=1,G21=0.5),G21*$N$24,0)+IF(OR(H21=1,H21=0.5),H21*$N$25,0)+IF(OR(I21=1,I21=0.5),I21*$N$26,0)+IF(OR(J21=1,J21=0.5),J21*$N$27,0)+IF(OR(K21=1,K21=0.5),K21*$N$28,0)+IF(OR(L21=1,L21=0.5),L21*$N$29,0)+IF(OR(M21=1,M21=0.5),M21*$N$30,0),"")</f>
      </c>
      <c r="P21" s="59" t="str">
        <f>IF('Tabelle 10'!$C$5=C21,'Tabelle 10'!$R$5,"")&amp;IF('Tabelle 10'!$C$6=C21,'Tabelle 10'!$R$6,"")&amp;IF('Tabelle 10'!$C$7=C21,'Tabelle 10'!$R$7,"")&amp;IF('Tabelle 10'!$C$8=C21,'Tabelle 10'!$R$8,"")&amp;IF('Tabelle 10'!$C$9=C21,'Tabelle 10'!$R$9,"")&amp;IF('Tabelle 10'!$C$10=C21,'Tabelle 10'!$R$10,"")&amp;IF('Tabelle 10'!$C$11=C21,'Tabelle 10'!$R$11,"")&amp;IF('Tabelle 10'!$C$12=C21,'Tabelle 10'!$R$12,"")&amp;IF('Tabelle 10'!$C$13=C21,'Tabelle 10'!$R$13,"")&amp;IF('Tabelle 10'!$C$14=C21,'Tabelle 10'!$R$14,"")</f>
        <v> 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95">
        <f>VLOOKUP($AP5,$Z$5:$AO$14,2,FALSE)</f>
        <v>1</v>
      </c>
      <c r="AB21" s="96" t="str">
        <f>VLOOKUP($AP5,$Z$5:$AO$14,3,FALSE)</f>
        <v>Spieler 1</v>
      </c>
      <c r="AC21" s="97" t="str">
        <f>VLOOKUP($AP5,$Z$5:$AO$14,4,FALSE)</f>
        <v> </v>
      </c>
      <c r="AD21" s="97" t="str">
        <f>VLOOKUP($AP5,$Z$5:$AO$14,5,FALSE)</f>
        <v> </v>
      </c>
      <c r="AE21" s="97" t="str">
        <f>VLOOKUP($AP5,$Z$5:$AO$14,6,FALSE)</f>
        <v> </v>
      </c>
      <c r="AF21" s="97" t="str">
        <f>VLOOKUP($AP5,$Z$5:$AO$14,7,FALSE)</f>
        <v> </v>
      </c>
      <c r="AG21" s="97" t="str">
        <f>VLOOKUP($AP5,$Z$5:$AO$14,8,FALSE)</f>
        <v> </v>
      </c>
      <c r="AH21" s="97" t="str">
        <f>VLOOKUP($AP5,$Z$5:$AO$14,9,FALSE)</f>
        <v> </v>
      </c>
      <c r="AI21" s="97" t="str">
        <f>VLOOKUP($AP5,$Z$5:$AO$14,10,FALSE)</f>
        <v> </v>
      </c>
      <c r="AJ21" s="97" t="str">
        <f>VLOOKUP($AP5,$Z$5:$AO$14,11,FALSE)</f>
        <v> </v>
      </c>
      <c r="AK21" s="97" t="str">
        <f>VLOOKUP($AP5,$Z$5:$AO$14,12,FALSE)</f>
        <v> </v>
      </c>
      <c r="AL21" s="97" t="str">
        <f>VLOOKUP($AP5,$Z$5:$AO$14,13,FALSE)</f>
        <v> </v>
      </c>
      <c r="AM21" s="20" t="str">
        <f>VLOOKUP($AP5,$Z$5:$AO$14,14,FALSE)</f>
        <v> </v>
      </c>
      <c r="AN21" s="52">
        <f>VLOOKUP($AP5,$Z$5:$AO$14,15,FALSE)</f>
      </c>
      <c r="AO21" s="22" t="str">
        <f>VLOOKUP($AP5,$Z$5:$AO$14,16,FALSE)</f>
        <v> </v>
      </c>
      <c r="AP21" s="88">
        <v>5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2:73" ht="24.75" customHeight="1">
      <c r="B22" s="10">
        <v>2</v>
      </c>
      <c r="C22" s="25" t="str">
        <f>Eingabe!$C$7</f>
        <v>Spieler 2</v>
      </c>
      <c r="D22" s="67" t="str">
        <f>'10 Spieler'!$O$25</f>
        <v> </v>
      </c>
      <c r="E22" s="66" t="s">
        <v>7</v>
      </c>
      <c r="F22" s="67" t="str">
        <f>'10 Spieler'!$I$25</f>
        <v> </v>
      </c>
      <c r="G22" s="67" t="str">
        <f>'10 Spieler'!$O$31</f>
        <v> </v>
      </c>
      <c r="H22" s="67" t="str">
        <f>'10 Spieler'!$Y$15</f>
        <v> </v>
      </c>
      <c r="I22" s="67" t="str">
        <f>'10 Spieler'!$G$32</f>
        <v> </v>
      </c>
      <c r="J22" s="67" t="str">
        <f>'10 Spieler'!$Q$14</f>
        <v> </v>
      </c>
      <c r="K22" s="67" t="str">
        <f>'10 Spieler'!$W$24</f>
        <v> </v>
      </c>
      <c r="L22" s="67" t="str">
        <f>'10 Spieler'!$I$13</f>
        <v> </v>
      </c>
      <c r="M22" s="28" t="str">
        <f>'10 Spieler'!$W$30</f>
        <v> </v>
      </c>
      <c r="N22" s="75" t="str">
        <f t="shared" si="16"/>
        <v> </v>
      </c>
      <c r="O22" s="55">
        <f t="shared" si="17"/>
      </c>
      <c r="P22" s="59" t="str">
        <f>IF('Tabelle 10'!$C$5=C22,'Tabelle 10'!$R$5,"")&amp;IF('Tabelle 10'!$C$6=C22,'Tabelle 10'!$R$6,"")&amp;IF('Tabelle 10'!$C$7=C22,'Tabelle 10'!$R$7,"")&amp;IF('Tabelle 10'!$C$8=C22,'Tabelle 10'!$R$8,"")&amp;IF('Tabelle 10'!$C$9=C22,'Tabelle 10'!$R$9,"")&amp;IF('Tabelle 10'!$C$10=C22,'Tabelle 10'!$R$10,"")&amp;IF('Tabelle 10'!$C$11=C22,'Tabelle 10'!$R$11,"")&amp;IF('Tabelle 10'!$C$12=C22,'Tabelle 10'!$R$12,"")&amp;IF('Tabelle 10'!$C$13=C22,'Tabelle 10'!$R$13,"")&amp;IF('Tabelle 10'!$C$14=C22,'Tabelle 10'!$R$14,"")</f>
        <v> 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10">
        <f aca="true" t="shared" si="18" ref="AA22:AA30">VLOOKUP($AP6,$Z$5:$AO$14,2,FALSE)</f>
        <v>2</v>
      </c>
      <c r="AB22" s="25" t="str">
        <f aca="true" t="shared" si="19" ref="AB22:AB30">VLOOKUP($AP6,$Z$5:$AO$14,3,FALSE)</f>
        <v>Spieler 2</v>
      </c>
      <c r="AC22" s="67" t="str">
        <f aca="true" t="shared" si="20" ref="AC22:AC30">VLOOKUP($AP6,$Z$5:$AO$14,4,FALSE)</f>
        <v> </v>
      </c>
      <c r="AD22" s="67" t="str">
        <f aca="true" t="shared" si="21" ref="AD22:AD30">VLOOKUP($AP6,$Z$5:$AO$14,5,FALSE)</f>
        <v> </v>
      </c>
      <c r="AE22" s="67" t="str">
        <f aca="true" t="shared" si="22" ref="AE22:AE30">VLOOKUP($AP6,$Z$5:$AO$14,6,FALSE)</f>
        <v> </v>
      </c>
      <c r="AF22" s="67" t="str">
        <f aca="true" t="shared" si="23" ref="AF22:AF30">VLOOKUP($AP6,$Z$5:$AO$14,7,FALSE)</f>
        <v> </v>
      </c>
      <c r="AG22" s="67" t="str">
        <f aca="true" t="shared" si="24" ref="AG22:AG30">VLOOKUP($AP6,$Z$5:$AO$14,8,FALSE)</f>
        <v> </v>
      </c>
      <c r="AH22" s="67" t="str">
        <f aca="true" t="shared" si="25" ref="AH22:AH30">VLOOKUP($AP6,$Z$5:$AO$14,9,FALSE)</f>
        <v> </v>
      </c>
      <c r="AI22" s="67" t="str">
        <f aca="true" t="shared" si="26" ref="AI22:AI30">VLOOKUP($AP6,$Z$5:$AO$14,10,FALSE)</f>
        <v> </v>
      </c>
      <c r="AJ22" s="67" t="str">
        <f aca="true" t="shared" si="27" ref="AJ22:AJ30">VLOOKUP($AP6,$Z$5:$AO$14,11,FALSE)</f>
        <v> </v>
      </c>
      <c r="AK22" s="67" t="str">
        <f aca="true" t="shared" si="28" ref="AK22:AK30">VLOOKUP($AP6,$Z$5:$AO$14,12,FALSE)</f>
        <v> </v>
      </c>
      <c r="AL22" s="28" t="str">
        <f aca="true" t="shared" si="29" ref="AL22:AL30">VLOOKUP($AP6,$Z$5:$AO$14,13,FALSE)</f>
        <v> </v>
      </c>
      <c r="AM22" s="75" t="str">
        <f aca="true" t="shared" si="30" ref="AM22:AM30">VLOOKUP($AP6,$Z$5:$AO$14,14,FALSE)</f>
        <v> </v>
      </c>
      <c r="AN22" s="55">
        <f aca="true" t="shared" si="31" ref="AN22:AN30">VLOOKUP($AP6,$Z$5:$AO$14,15,FALSE)</f>
      </c>
      <c r="AO22" s="59" t="str">
        <f aca="true" t="shared" si="32" ref="AO22:AO30">VLOOKUP($AP6,$Z$5:$AO$14,16,FALSE)</f>
        <v> </v>
      </c>
      <c r="AP22" s="88">
        <v>6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2:73" ht="24.75" customHeight="1">
      <c r="B23" s="10">
        <v>3</v>
      </c>
      <c r="C23" s="25" t="str">
        <f>Eingabe!$C$8</f>
        <v>Spieler 3</v>
      </c>
      <c r="D23" s="67" t="str">
        <f>'10 Spieler'!$Y$31</f>
        <v> </v>
      </c>
      <c r="E23" s="67" t="str">
        <f>'10 Spieler'!$G$25</f>
        <v> </v>
      </c>
      <c r="F23" s="66" t="s">
        <v>7</v>
      </c>
      <c r="G23" s="67" t="str">
        <f>'10 Spieler'!$Y$16</f>
        <v> </v>
      </c>
      <c r="H23" s="67" t="str">
        <f>'10 Spieler'!$G$31</f>
        <v> </v>
      </c>
      <c r="I23" s="67" t="str">
        <f>'10 Spieler'!$Q$15</f>
        <v> </v>
      </c>
      <c r="J23" s="67" t="str">
        <f>'10 Spieler'!$W$23</f>
        <v> </v>
      </c>
      <c r="K23" s="67" t="str">
        <f>'10 Spieler'!$I$14</f>
        <v> </v>
      </c>
      <c r="L23" s="67" t="str">
        <f>'10 Spieler'!$O$24</f>
        <v> </v>
      </c>
      <c r="M23" s="28" t="str">
        <f>'10 Spieler'!$O$30</f>
        <v> </v>
      </c>
      <c r="N23" s="75" t="str">
        <f t="shared" si="16"/>
        <v> </v>
      </c>
      <c r="O23" s="55">
        <f t="shared" si="17"/>
      </c>
      <c r="P23" s="59" t="str">
        <f>IF('Tabelle 10'!$C$5=C23,'Tabelle 10'!$R$5,"")&amp;IF('Tabelle 10'!$C$6=C23,'Tabelle 10'!$R$6,"")&amp;IF('Tabelle 10'!$C$7=C23,'Tabelle 10'!$R$7,"")&amp;IF('Tabelle 10'!$C$8=C23,'Tabelle 10'!$R$8,"")&amp;IF('Tabelle 10'!$C$9=C23,'Tabelle 10'!$R$9,"")&amp;IF('Tabelle 10'!$C$10=C23,'Tabelle 10'!$R$10,"")&amp;IF('Tabelle 10'!$C$11=C23,'Tabelle 10'!$R$11,"")&amp;IF('Tabelle 10'!$C$12=C23,'Tabelle 10'!$R$12,"")&amp;IF('Tabelle 10'!$C$13=C23,'Tabelle 10'!$R$13,"")&amp;IF('Tabelle 10'!$C$14=C23,'Tabelle 10'!$R$14,"")</f>
        <v> 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10">
        <f t="shared" si="18"/>
        <v>3</v>
      </c>
      <c r="AB23" s="25" t="str">
        <f t="shared" si="19"/>
        <v>Spieler 3</v>
      </c>
      <c r="AC23" s="67" t="str">
        <f t="shared" si="20"/>
        <v> </v>
      </c>
      <c r="AD23" s="67" t="str">
        <f t="shared" si="21"/>
        <v> </v>
      </c>
      <c r="AE23" s="67" t="str">
        <f t="shared" si="22"/>
        <v> </v>
      </c>
      <c r="AF23" s="67" t="str">
        <f t="shared" si="23"/>
        <v> </v>
      </c>
      <c r="AG23" s="67" t="str">
        <f t="shared" si="24"/>
        <v> </v>
      </c>
      <c r="AH23" s="67" t="str">
        <f t="shared" si="25"/>
        <v> </v>
      </c>
      <c r="AI23" s="67" t="str">
        <f t="shared" si="26"/>
        <v> </v>
      </c>
      <c r="AJ23" s="67" t="str">
        <f t="shared" si="27"/>
        <v> </v>
      </c>
      <c r="AK23" s="67" t="str">
        <f t="shared" si="28"/>
        <v> </v>
      </c>
      <c r="AL23" s="28" t="str">
        <f t="shared" si="29"/>
        <v> </v>
      </c>
      <c r="AM23" s="75" t="str">
        <f t="shared" si="30"/>
        <v> </v>
      </c>
      <c r="AN23" s="55">
        <f t="shared" si="31"/>
      </c>
      <c r="AO23" s="59" t="str">
        <f t="shared" si="32"/>
        <v> </v>
      </c>
      <c r="AP23" s="88">
        <v>7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2:73" ht="24.75" customHeight="1">
      <c r="B24" s="10">
        <v>4</v>
      </c>
      <c r="C24" s="25" t="str">
        <f>Eingabe!$C$9</f>
        <v>Spieler 4</v>
      </c>
      <c r="D24" s="67" t="str">
        <f>'10 Spieler'!$G$24</f>
        <v> </v>
      </c>
      <c r="E24" s="67" t="str">
        <f>'10 Spieler'!$Q$31</f>
        <v> </v>
      </c>
      <c r="F24" s="67" t="str">
        <f>'10 Spieler'!$W$16</f>
        <v> </v>
      </c>
      <c r="G24" s="66" t="s">
        <v>7</v>
      </c>
      <c r="H24" s="67" t="str">
        <f>'10 Spieler'!$Q$16</f>
        <v> </v>
      </c>
      <c r="I24" s="67" t="str">
        <f>'10 Spieler'!$W$22</f>
        <v> </v>
      </c>
      <c r="J24" s="67" t="str">
        <f>'10 Spieler'!$I$15</f>
        <v> </v>
      </c>
      <c r="K24" s="67" t="str">
        <f>'10 Spieler'!$O$23</f>
        <v> </v>
      </c>
      <c r="L24" s="67" t="str">
        <f>'10 Spieler'!$Y$32</f>
        <v> </v>
      </c>
      <c r="M24" s="28" t="str">
        <f>'10 Spieler'!$G$30</f>
        <v> </v>
      </c>
      <c r="N24" s="75" t="str">
        <f t="shared" si="16"/>
        <v> </v>
      </c>
      <c r="O24" s="55">
        <f t="shared" si="17"/>
      </c>
      <c r="P24" s="59" t="str">
        <f>IF('Tabelle 10'!$C$5=C24,'Tabelle 10'!$R$5,"")&amp;IF('Tabelle 10'!$C$6=C24,'Tabelle 10'!$R$6,"")&amp;IF('Tabelle 10'!$C$7=C24,'Tabelle 10'!$R$7,"")&amp;IF('Tabelle 10'!$C$8=C24,'Tabelle 10'!$R$8,"")&amp;IF('Tabelle 10'!$C$9=C24,'Tabelle 10'!$R$9,"")&amp;IF('Tabelle 10'!$C$10=C24,'Tabelle 10'!$R$10,"")&amp;IF('Tabelle 10'!$C$11=C24,'Tabelle 10'!$R$11,"")&amp;IF('Tabelle 10'!$C$12=C24,'Tabelle 10'!$R$12,"")&amp;IF('Tabelle 10'!$C$13=C24,'Tabelle 10'!$R$13,"")&amp;IF('Tabelle 10'!$C$14=C24,'Tabelle 10'!$R$14,"")</f>
        <v> 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10">
        <f t="shared" si="18"/>
        <v>4</v>
      </c>
      <c r="AB24" s="25" t="str">
        <f t="shared" si="19"/>
        <v>Spieler 4</v>
      </c>
      <c r="AC24" s="67" t="str">
        <f t="shared" si="20"/>
        <v> </v>
      </c>
      <c r="AD24" s="67" t="str">
        <f t="shared" si="21"/>
        <v> </v>
      </c>
      <c r="AE24" s="67" t="str">
        <f t="shared" si="22"/>
        <v> </v>
      </c>
      <c r="AF24" s="67" t="str">
        <f t="shared" si="23"/>
        <v> </v>
      </c>
      <c r="AG24" s="67" t="str">
        <f t="shared" si="24"/>
        <v> </v>
      </c>
      <c r="AH24" s="67" t="str">
        <f t="shared" si="25"/>
        <v> </v>
      </c>
      <c r="AI24" s="67" t="str">
        <f t="shared" si="26"/>
        <v> </v>
      </c>
      <c r="AJ24" s="67" t="str">
        <f t="shared" si="27"/>
        <v> </v>
      </c>
      <c r="AK24" s="67" t="str">
        <f t="shared" si="28"/>
        <v> </v>
      </c>
      <c r="AL24" s="28" t="str">
        <f t="shared" si="29"/>
        <v> </v>
      </c>
      <c r="AM24" s="75" t="str">
        <f t="shared" si="30"/>
        <v> </v>
      </c>
      <c r="AN24" s="55">
        <f t="shared" si="31"/>
      </c>
      <c r="AO24" s="59" t="str">
        <f t="shared" si="32"/>
        <v> </v>
      </c>
      <c r="AP24" s="92">
        <v>8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2:73" ht="24.75" customHeight="1">
      <c r="B25" s="10">
        <v>5</v>
      </c>
      <c r="C25" s="25" t="str">
        <f>Eingabe!$C$10</f>
        <v>Spieler 5</v>
      </c>
      <c r="D25" s="67" t="str">
        <f>'10 Spieler'!$Q$32</f>
        <v> </v>
      </c>
      <c r="E25" s="67" t="str">
        <f>'10 Spieler'!$W$15</f>
        <v> </v>
      </c>
      <c r="F25" s="67" t="str">
        <f>'10 Spieler'!$I$31</f>
        <v> </v>
      </c>
      <c r="G25" s="67" t="str">
        <f>'10 Spieler'!$O$16</f>
        <v> </v>
      </c>
      <c r="H25" s="66" t="s">
        <v>7</v>
      </c>
      <c r="I25" s="67" t="str">
        <f>'10 Spieler'!$I$16</f>
        <v> </v>
      </c>
      <c r="J25" s="67" t="str">
        <f>'10 Spieler'!$O$22</f>
        <v> </v>
      </c>
      <c r="K25" s="67" t="str">
        <f>'10 Spieler'!$Y$33</f>
        <v> </v>
      </c>
      <c r="L25" s="67" t="str">
        <f>'10 Spieler'!$G$23</f>
        <v> </v>
      </c>
      <c r="M25" s="28" t="str">
        <f>'10 Spieler'!$W$21</f>
        <v> </v>
      </c>
      <c r="N25" s="75" t="str">
        <f t="shared" si="16"/>
        <v> </v>
      </c>
      <c r="O25" s="55">
        <f t="shared" si="17"/>
      </c>
      <c r="P25" s="59" t="str">
        <f>IF('Tabelle 10'!$C$5=C25,'Tabelle 10'!$R$5,"")&amp;IF('Tabelle 10'!$C$6=C25,'Tabelle 10'!$R$6,"")&amp;IF('Tabelle 10'!$C$7=C25,'Tabelle 10'!$R$7,"")&amp;IF('Tabelle 10'!$C$8=C25,'Tabelle 10'!$R$8,"")&amp;IF('Tabelle 10'!$C$9=C25,'Tabelle 10'!$R$9,"")&amp;IF('Tabelle 10'!$C$10=C25,'Tabelle 10'!$R$10,"")&amp;IF('Tabelle 10'!$C$11=C25,'Tabelle 10'!$R$11,"")&amp;IF('Tabelle 10'!$C$12=C25,'Tabelle 10'!$R$12,"")&amp;IF('Tabelle 10'!$C$13=C25,'Tabelle 10'!$R$13,"")&amp;IF('Tabelle 10'!$C$14=C25,'Tabelle 10'!$R$14,"")</f>
        <v> 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10">
        <f t="shared" si="18"/>
        <v>5</v>
      </c>
      <c r="AB25" s="25" t="str">
        <f t="shared" si="19"/>
        <v>Spieler 5</v>
      </c>
      <c r="AC25" s="67" t="str">
        <f t="shared" si="20"/>
        <v> </v>
      </c>
      <c r="AD25" s="67" t="str">
        <f t="shared" si="21"/>
        <v> </v>
      </c>
      <c r="AE25" s="67" t="str">
        <f t="shared" si="22"/>
        <v> </v>
      </c>
      <c r="AF25" s="67" t="str">
        <f t="shared" si="23"/>
        <v> </v>
      </c>
      <c r="AG25" s="67" t="str">
        <f t="shared" si="24"/>
        <v> </v>
      </c>
      <c r="AH25" s="67" t="str">
        <f t="shared" si="25"/>
        <v> </v>
      </c>
      <c r="AI25" s="67" t="str">
        <f t="shared" si="26"/>
        <v> </v>
      </c>
      <c r="AJ25" s="67" t="str">
        <f t="shared" si="27"/>
        <v> </v>
      </c>
      <c r="AK25" s="67" t="str">
        <f t="shared" si="28"/>
        <v> </v>
      </c>
      <c r="AL25" s="28" t="str">
        <f t="shared" si="29"/>
        <v> </v>
      </c>
      <c r="AM25" s="75" t="str">
        <f t="shared" si="30"/>
        <v> </v>
      </c>
      <c r="AN25" s="55">
        <f t="shared" si="31"/>
      </c>
      <c r="AO25" s="59" t="str">
        <f t="shared" si="32"/>
        <v> </v>
      </c>
      <c r="AP25" s="92">
        <v>9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2:73" ht="24.75" customHeight="1">
      <c r="B26" s="10">
        <v>6</v>
      </c>
      <c r="C26" s="25" t="str">
        <f>Eingabe!$C$11</f>
        <v>Spieler 6</v>
      </c>
      <c r="D26" s="67" t="str">
        <f>'10 Spieler'!$W$14</f>
        <v> </v>
      </c>
      <c r="E26" s="67" t="str">
        <f>'10 Spieler'!$I$32</f>
        <v> </v>
      </c>
      <c r="F26" s="67" t="str">
        <f>'10 Spieler'!$O$15</f>
        <v> </v>
      </c>
      <c r="G26" s="67" t="str">
        <f>'10 Spieler'!$Y$22</f>
        <v> </v>
      </c>
      <c r="H26" s="67" t="str">
        <f>'10 Spieler'!$G$16</f>
        <v> </v>
      </c>
      <c r="I26" s="66" t="s">
        <v>7</v>
      </c>
      <c r="J26" s="67" t="str">
        <f>'10 Spieler'!$Y$34</f>
        <v> </v>
      </c>
      <c r="K26" s="67" t="str">
        <f>'10 Spieler'!$G$22</f>
        <v> </v>
      </c>
      <c r="L26" s="67" t="str">
        <f>'10 Spieler'!$Q$33</f>
        <v> </v>
      </c>
      <c r="M26" s="28" t="str">
        <f>'10 Spieler'!$O$21</f>
        <v> </v>
      </c>
      <c r="N26" s="75" t="str">
        <f t="shared" si="16"/>
        <v> </v>
      </c>
      <c r="O26" s="55">
        <f t="shared" si="17"/>
      </c>
      <c r="P26" s="59" t="str">
        <f>IF('Tabelle 10'!$C$5=C26,'Tabelle 10'!$R$5,"")&amp;IF('Tabelle 10'!$C$6=C26,'Tabelle 10'!$R$6,"")&amp;IF('Tabelle 10'!$C$7=C26,'Tabelle 10'!$R$7,"")&amp;IF('Tabelle 10'!$C$8=C26,'Tabelle 10'!$R$8,"")&amp;IF('Tabelle 10'!$C$9=C26,'Tabelle 10'!$R$9,"")&amp;IF('Tabelle 10'!$C$10=C26,'Tabelle 10'!$R$10,"")&amp;IF('Tabelle 10'!$C$11=C26,'Tabelle 10'!$R$11,"")&amp;IF('Tabelle 10'!$C$12=C26,'Tabelle 10'!$R$12,"")&amp;IF('Tabelle 10'!$C$13=C26,'Tabelle 10'!$R$13,"")&amp;IF('Tabelle 10'!$C$14=C26,'Tabelle 10'!$R$14,"")</f>
        <v> 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10">
        <f t="shared" si="18"/>
        <v>6</v>
      </c>
      <c r="AB26" s="25" t="str">
        <f t="shared" si="19"/>
        <v>Spieler 6</v>
      </c>
      <c r="AC26" s="67" t="str">
        <f t="shared" si="20"/>
        <v> </v>
      </c>
      <c r="AD26" s="67" t="str">
        <f t="shared" si="21"/>
        <v> </v>
      </c>
      <c r="AE26" s="67" t="str">
        <f t="shared" si="22"/>
        <v> </v>
      </c>
      <c r="AF26" s="67" t="str">
        <f t="shared" si="23"/>
        <v> </v>
      </c>
      <c r="AG26" s="67" t="str">
        <f t="shared" si="24"/>
        <v> </v>
      </c>
      <c r="AH26" s="67" t="str">
        <f t="shared" si="25"/>
        <v> </v>
      </c>
      <c r="AI26" s="67" t="str">
        <f t="shared" si="26"/>
        <v> </v>
      </c>
      <c r="AJ26" s="67" t="str">
        <f t="shared" si="27"/>
        <v> </v>
      </c>
      <c r="AK26" s="67" t="str">
        <f t="shared" si="28"/>
        <v> </v>
      </c>
      <c r="AL26" s="28" t="str">
        <f t="shared" si="29"/>
        <v> </v>
      </c>
      <c r="AM26" s="75" t="str">
        <f t="shared" si="30"/>
        <v> </v>
      </c>
      <c r="AN26" s="55">
        <f t="shared" si="31"/>
      </c>
      <c r="AO26" s="59" t="str">
        <f t="shared" si="32"/>
        <v> </v>
      </c>
      <c r="AP26" s="92">
        <v>10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2:73" ht="24.75" customHeight="1">
      <c r="B27" s="10">
        <v>7</v>
      </c>
      <c r="C27" s="25" t="str">
        <f>Eingabe!$C$12</f>
        <v>Spieler 7</v>
      </c>
      <c r="D27" s="67" t="str">
        <f>'10 Spieler'!$I$33</f>
        <v> </v>
      </c>
      <c r="E27" s="67" t="str">
        <f>'10 Spieler'!$O$14</f>
        <v> </v>
      </c>
      <c r="F27" s="67" t="str">
        <f>'10 Spieler'!$Y$23</f>
        <v> </v>
      </c>
      <c r="G27" s="67" t="str">
        <f>'10 Spieler'!$G$15</f>
        <v> </v>
      </c>
      <c r="H27" s="67" t="str">
        <f>'10 Spieler'!$Q$22</f>
        <v> </v>
      </c>
      <c r="I27" s="67" t="str">
        <f>'10 Spieler'!$W$34</f>
        <v> </v>
      </c>
      <c r="J27" s="66" t="s">
        <v>7</v>
      </c>
      <c r="K27" s="67" t="str">
        <f>'10 Spieler'!$Q$34</f>
        <v> </v>
      </c>
      <c r="L27" s="67" t="str">
        <f>'10 Spieler'!$W$13</f>
        <v> </v>
      </c>
      <c r="M27" s="28" t="str">
        <f>'10 Spieler'!$G$21</f>
        <v> </v>
      </c>
      <c r="N27" s="75" t="str">
        <f t="shared" si="16"/>
        <v> </v>
      </c>
      <c r="O27" s="55">
        <f t="shared" si="17"/>
      </c>
      <c r="P27" s="59" t="str">
        <f>IF('Tabelle 10'!$C$5=C27,'Tabelle 10'!$R$5,"")&amp;IF('Tabelle 10'!$C$6=C27,'Tabelle 10'!$R$6,"")&amp;IF('Tabelle 10'!$C$7=C27,'Tabelle 10'!$R$7,"")&amp;IF('Tabelle 10'!$C$8=C27,'Tabelle 10'!$R$8,"")&amp;IF('Tabelle 10'!$C$9=C27,'Tabelle 10'!$R$9,"")&amp;IF('Tabelle 10'!$C$10=C27,'Tabelle 10'!$R$10,"")&amp;IF('Tabelle 10'!$C$11=C27,'Tabelle 10'!$R$11,"")&amp;IF('Tabelle 10'!$C$12=C27,'Tabelle 10'!$R$12,"")&amp;IF('Tabelle 10'!$C$13=C27,'Tabelle 10'!$R$13,"")&amp;IF('Tabelle 10'!$C$14=C27,'Tabelle 10'!$R$14,"")</f>
        <v> 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10">
        <f t="shared" si="18"/>
        <v>7</v>
      </c>
      <c r="AB27" s="25" t="str">
        <f t="shared" si="19"/>
        <v>Spieler 7</v>
      </c>
      <c r="AC27" s="67" t="str">
        <f t="shared" si="20"/>
        <v> </v>
      </c>
      <c r="AD27" s="67" t="str">
        <f t="shared" si="21"/>
        <v> </v>
      </c>
      <c r="AE27" s="67" t="str">
        <f t="shared" si="22"/>
        <v> </v>
      </c>
      <c r="AF27" s="67" t="str">
        <f t="shared" si="23"/>
        <v> </v>
      </c>
      <c r="AG27" s="67" t="str">
        <f t="shared" si="24"/>
        <v> </v>
      </c>
      <c r="AH27" s="67" t="str">
        <f t="shared" si="25"/>
        <v> </v>
      </c>
      <c r="AI27" s="67" t="str">
        <f t="shared" si="26"/>
        <v> </v>
      </c>
      <c r="AJ27" s="67" t="str">
        <f t="shared" si="27"/>
        <v> </v>
      </c>
      <c r="AK27" s="67" t="str">
        <f t="shared" si="28"/>
        <v> </v>
      </c>
      <c r="AL27" s="28" t="str">
        <f t="shared" si="29"/>
        <v> </v>
      </c>
      <c r="AM27" s="75" t="str">
        <f t="shared" si="30"/>
        <v> </v>
      </c>
      <c r="AN27" s="55">
        <f t="shared" si="31"/>
      </c>
      <c r="AO27" s="59" t="str">
        <f t="shared" si="32"/>
        <v> </v>
      </c>
      <c r="AP27" s="92">
        <v>11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2:73" ht="24.75" customHeight="1">
      <c r="B28" s="10">
        <v>8</v>
      </c>
      <c r="C28" s="25" t="str">
        <f>Eingabe!$C$13</f>
        <v>Spieler 8</v>
      </c>
      <c r="D28" s="67" t="str">
        <f>'10 Spieler'!$O$13</f>
        <v> </v>
      </c>
      <c r="E28" s="67" t="str">
        <f>'10 Spieler'!$Y$24</f>
        <v> </v>
      </c>
      <c r="F28" s="67" t="str">
        <f>'10 Spieler'!$G$14</f>
        <v> </v>
      </c>
      <c r="G28" s="67" t="str">
        <f>'10 Spieler'!$Q$23</f>
        <v> </v>
      </c>
      <c r="H28" s="67" t="str">
        <f>'10 Spieler'!$W$33</f>
        <v> </v>
      </c>
      <c r="I28" s="67" t="str">
        <f>'10 Spieler'!$I$22</f>
        <v> </v>
      </c>
      <c r="J28" s="67" t="str">
        <f>'10 Spieler'!$O$34</f>
        <v> </v>
      </c>
      <c r="K28" s="66" t="s">
        <v>7</v>
      </c>
      <c r="L28" s="67" t="str">
        <f>'10 Spieler'!$I$34</f>
        <v> </v>
      </c>
      <c r="M28" s="28" t="str">
        <f>'10 Spieler'!$W$12</f>
        <v> </v>
      </c>
      <c r="N28" s="75" t="str">
        <f t="shared" si="16"/>
        <v> </v>
      </c>
      <c r="O28" s="55">
        <f t="shared" si="17"/>
      </c>
      <c r="P28" s="59" t="str">
        <f>IF('Tabelle 10'!$C$5=C28,'Tabelle 10'!$R$5,"")&amp;IF('Tabelle 10'!$C$6=C28,'Tabelle 10'!$R$6,"")&amp;IF('Tabelle 10'!$C$7=C28,'Tabelle 10'!$R$7,"")&amp;IF('Tabelle 10'!$C$8=C28,'Tabelle 10'!$R$8,"")&amp;IF('Tabelle 10'!$C$9=C28,'Tabelle 10'!$R$9,"")&amp;IF('Tabelle 10'!$C$10=C28,'Tabelle 10'!$R$10,"")&amp;IF('Tabelle 10'!$C$11=C28,'Tabelle 10'!$R$11,"")&amp;IF('Tabelle 10'!$C$12=C28,'Tabelle 10'!$R$12,"")&amp;IF('Tabelle 10'!$C$13=C28,'Tabelle 10'!$R$13,"")&amp;IF('Tabelle 10'!$C$14=C28,'Tabelle 10'!$R$14,"")</f>
        <v> 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10">
        <f t="shared" si="18"/>
        <v>8</v>
      </c>
      <c r="AB28" s="25" t="str">
        <f t="shared" si="19"/>
        <v>Spieler 8</v>
      </c>
      <c r="AC28" s="67" t="str">
        <f t="shared" si="20"/>
        <v> </v>
      </c>
      <c r="AD28" s="67" t="str">
        <f t="shared" si="21"/>
        <v> </v>
      </c>
      <c r="AE28" s="67" t="str">
        <f t="shared" si="22"/>
        <v> </v>
      </c>
      <c r="AF28" s="67" t="str">
        <f t="shared" si="23"/>
        <v> </v>
      </c>
      <c r="AG28" s="67" t="str">
        <f t="shared" si="24"/>
        <v> </v>
      </c>
      <c r="AH28" s="67" t="str">
        <f t="shared" si="25"/>
        <v> </v>
      </c>
      <c r="AI28" s="67" t="str">
        <f t="shared" si="26"/>
        <v> </v>
      </c>
      <c r="AJ28" s="67" t="str">
        <f t="shared" si="27"/>
        <v> </v>
      </c>
      <c r="AK28" s="67" t="str">
        <f t="shared" si="28"/>
        <v> </v>
      </c>
      <c r="AL28" s="28" t="str">
        <f t="shared" si="29"/>
        <v> </v>
      </c>
      <c r="AM28" s="75" t="str">
        <f t="shared" si="30"/>
        <v> </v>
      </c>
      <c r="AN28" s="55">
        <f t="shared" si="31"/>
      </c>
      <c r="AO28" s="59" t="str">
        <f t="shared" si="32"/>
        <v> </v>
      </c>
      <c r="AP28" s="92">
        <v>12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2:73" ht="24.75" customHeight="1">
      <c r="B29" s="10">
        <v>9</v>
      </c>
      <c r="C29" s="25" t="str">
        <f>Eingabe!$C$14</f>
        <v>Spieler 9</v>
      </c>
      <c r="D29" s="67" t="str">
        <f>'10 Spieler'!$Y$25</f>
        <v> </v>
      </c>
      <c r="E29" s="67" t="str">
        <f>'10 Spieler'!$G$13</f>
        <v> </v>
      </c>
      <c r="F29" s="67" t="str">
        <f>'10 Spieler'!$Q$24</f>
        <v> </v>
      </c>
      <c r="G29" s="67" t="str">
        <f>'10 Spieler'!$W$32</f>
        <v> </v>
      </c>
      <c r="H29" s="67" t="str">
        <f>'10 Spieler'!$I$23</f>
        <v> </v>
      </c>
      <c r="I29" s="67" t="str">
        <f>'10 Spieler'!$O$33</f>
        <v> </v>
      </c>
      <c r="J29" s="67" t="str">
        <f>'10 Spieler'!$Y$13</f>
        <v> </v>
      </c>
      <c r="K29" s="67" t="str">
        <f>'10 Spieler'!$G$34</f>
        <v> </v>
      </c>
      <c r="L29" s="66" t="s">
        <v>7</v>
      </c>
      <c r="M29" s="28" t="str">
        <f>'10 Spieler'!$O$12</f>
        <v> </v>
      </c>
      <c r="N29" s="75" t="str">
        <f t="shared" si="16"/>
        <v> </v>
      </c>
      <c r="O29" s="55">
        <f t="shared" si="17"/>
      </c>
      <c r="P29" s="59" t="str">
        <f>IF('Tabelle 10'!$C$5=C29,'Tabelle 10'!$R$5,"")&amp;IF('Tabelle 10'!$C$6=C29,'Tabelle 10'!$R$6,"")&amp;IF('Tabelle 10'!$C$7=C29,'Tabelle 10'!$R$7,"")&amp;IF('Tabelle 10'!$C$8=C29,'Tabelle 10'!$R$8,"")&amp;IF('Tabelle 10'!$C$9=C29,'Tabelle 10'!$R$9,"")&amp;IF('Tabelle 10'!$C$10=C29,'Tabelle 10'!$R$10,"")&amp;IF('Tabelle 10'!$C$11=C29,'Tabelle 10'!$R$11,"")&amp;IF('Tabelle 10'!$C$12=C29,'Tabelle 10'!$R$12,"")&amp;IF('Tabelle 10'!$C$13=C29,'Tabelle 10'!$R$13,"")&amp;IF('Tabelle 10'!$C$14=C29,'Tabelle 10'!$R$14,"")</f>
        <v> 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10">
        <f t="shared" si="18"/>
        <v>9</v>
      </c>
      <c r="AB29" s="25" t="str">
        <f t="shared" si="19"/>
        <v>Spieler 9</v>
      </c>
      <c r="AC29" s="67" t="str">
        <f t="shared" si="20"/>
        <v> </v>
      </c>
      <c r="AD29" s="67" t="str">
        <f t="shared" si="21"/>
        <v> </v>
      </c>
      <c r="AE29" s="67" t="str">
        <f t="shared" si="22"/>
        <v> </v>
      </c>
      <c r="AF29" s="67" t="str">
        <f t="shared" si="23"/>
        <v> </v>
      </c>
      <c r="AG29" s="67" t="str">
        <f t="shared" si="24"/>
        <v> </v>
      </c>
      <c r="AH29" s="67" t="str">
        <f t="shared" si="25"/>
        <v> </v>
      </c>
      <c r="AI29" s="67" t="str">
        <f t="shared" si="26"/>
        <v> </v>
      </c>
      <c r="AJ29" s="67" t="str">
        <f t="shared" si="27"/>
        <v> </v>
      </c>
      <c r="AK29" s="67" t="str">
        <f t="shared" si="28"/>
        <v> </v>
      </c>
      <c r="AL29" s="28" t="str">
        <f t="shared" si="29"/>
        <v> </v>
      </c>
      <c r="AM29" s="75" t="str">
        <f t="shared" si="30"/>
        <v> </v>
      </c>
      <c r="AN29" s="55">
        <f t="shared" si="31"/>
      </c>
      <c r="AO29" s="59" t="str">
        <f t="shared" si="32"/>
        <v> </v>
      </c>
      <c r="AP29" s="92">
        <v>13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2:73" ht="24.75" customHeight="1" thickBot="1">
      <c r="B30" s="24">
        <v>10</v>
      </c>
      <c r="C30" s="26" t="str">
        <f>Eingabe!$C$15</f>
        <v>Spieler 10 / spielfrei</v>
      </c>
      <c r="D30" s="68" t="str">
        <f>'10 Spieler'!$I$12</f>
        <v> </v>
      </c>
      <c r="E30" s="68" t="str">
        <f>'10 Spieler'!$Y$30</f>
        <v> </v>
      </c>
      <c r="F30" s="68" t="str">
        <f>'10 Spieler'!$Q$30</f>
        <v> </v>
      </c>
      <c r="G30" s="68" t="str">
        <f>'10 Spieler'!$I$30</f>
        <v> </v>
      </c>
      <c r="H30" s="68" t="str">
        <f>'10 Spieler'!$Y$21</f>
        <v> </v>
      </c>
      <c r="I30" s="68" t="str">
        <f>'10 Spieler'!$Q$21</f>
        <v> </v>
      </c>
      <c r="J30" s="68" t="str">
        <f>'10 Spieler'!$I$21</f>
        <v> </v>
      </c>
      <c r="K30" s="68" t="str">
        <f>'10 Spieler'!$Y$12</f>
        <v> </v>
      </c>
      <c r="L30" s="68" t="str">
        <f>'10 Spieler'!$Q$12</f>
        <v> </v>
      </c>
      <c r="M30" s="69" t="s">
        <v>7</v>
      </c>
      <c r="N30" s="76" t="str">
        <f>IF($C$30="spielfrei",-0.001,IF(COUNT($M$21,$L$22,$K$23,$J$24,$I$25,$H$26,$G$27,$F$28,$E$29,$D$30)&gt;0,SUM(D30:M30)," "))</f>
        <v> </v>
      </c>
      <c r="O30" s="56">
        <f t="shared" si="17"/>
      </c>
      <c r="P30" s="60" t="str">
        <f>IF('Tabelle 10'!$C$5=C30,'Tabelle 10'!$R$5,"")&amp;IF('Tabelle 10'!$C$6=C30,'Tabelle 10'!$R$6,"")&amp;IF('Tabelle 10'!$C$7=C30,'Tabelle 10'!$R$7,"")&amp;IF('Tabelle 10'!$C$8=C30,'Tabelle 10'!$R$8,"")&amp;IF('Tabelle 10'!$C$9=C30,'Tabelle 10'!$R$9,"")&amp;IF('Tabelle 10'!$C$10=C30,'Tabelle 10'!$R$10,"")&amp;IF('Tabelle 10'!$C$11=C30,'Tabelle 10'!$R$11,"")&amp;IF('Tabelle 10'!$C$12=C30,'Tabelle 10'!$R$12,"")&amp;IF('Tabelle 10'!$C$13=C30,'Tabelle 10'!$R$13,"")&amp;IF('Tabelle 10'!$C$14=C30,'Tabelle 10'!$R$14,"")</f>
        <v> 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4">
        <f t="shared" si="18"/>
        <v>10</v>
      </c>
      <c r="AB30" s="26" t="str">
        <f t="shared" si="19"/>
        <v>Spieler 10 / spielfrei</v>
      </c>
      <c r="AC30" s="68" t="str">
        <f t="shared" si="20"/>
        <v> </v>
      </c>
      <c r="AD30" s="68" t="str">
        <f t="shared" si="21"/>
        <v> </v>
      </c>
      <c r="AE30" s="68" t="str">
        <f t="shared" si="22"/>
        <v> </v>
      </c>
      <c r="AF30" s="68" t="str">
        <f t="shared" si="23"/>
        <v> </v>
      </c>
      <c r="AG30" s="68" t="str">
        <f t="shared" si="24"/>
        <v> </v>
      </c>
      <c r="AH30" s="68" t="str">
        <f t="shared" si="25"/>
        <v> </v>
      </c>
      <c r="AI30" s="68" t="str">
        <f t="shared" si="26"/>
        <v> </v>
      </c>
      <c r="AJ30" s="68" t="str">
        <f t="shared" si="27"/>
        <v> </v>
      </c>
      <c r="AK30" s="68" t="str">
        <f t="shared" si="28"/>
        <v> </v>
      </c>
      <c r="AL30" s="30" t="str">
        <f t="shared" si="29"/>
        <v> </v>
      </c>
      <c r="AM30" s="76" t="str">
        <f t="shared" si="30"/>
        <v> </v>
      </c>
      <c r="AN30" s="56">
        <f t="shared" si="31"/>
      </c>
      <c r="AO30" s="60" t="str">
        <f t="shared" si="32"/>
        <v> </v>
      </c>
      <c r="AP30" s="92">
        <v>14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3" spans="29:38" ht="12.75">
      <c r="AC33" s="88" t="str">
        <f>IF(AC34=1,"AC","")&amp;IF(AC34=2,"AD","")&amp;IF(AC34=3,"AE","")&amp;IF(AC34=4,"AF","")&amp;IF(AC34=5,"AG","")&amp;IF(AC34=6,"AH","")&amp;IF(AC34=7,"Ai","")&amp;IF(AC34=8,"Aj","")&amp;IF(AC34=9,"Ak","")&amp;IF(AC34=10,"Al","")</f>
        <v>AC</v>
      </c>
      <c r="AD33" s="88" t="str">
        <f aca="true" t="shared" si="33" ref="AD33:AL33">IF(AD34=1,"AC","")&amp;IF(AD34=2,"AD","")&amp;IF(AD34=3,"AE","")&amp;IF(AD34=4,"AF","")&amp;IF(AD34=5,"AG","")&amp;IF(AD34=6,"AH","")&amp;IF(AD34=7,"Ai","")&amp;IF(AD34=8,"Aj","")&amp;IF(AD34=9,"Ak","")&amp;IF(AD34=10,"Al","")</f>
        <v>AD</v>
      </c>
      <c r="AE33" s="88" t="str">
        <f t="shared" si="33"/>
        <v>AE</v>
      </c>
      <c r="AF33" s="88" t="str">
        <f t="shared" si="33"/>
        <v>AF</v>
      </c>
      <c r="AG33" s="88" t="str">
        <f t="shared" si="33"/>
        <v>AG</v>
      </c>
      <c r="AH33" s="88" t="str">
        <f t="shared" si="33"/>
        <v>AH</v>
      </c>
      <c r="AI33" s="88" t="str">
        <f t="shared" si="33"/>
        <v>Ai</v>
      </c>
      <c r="AJ33" s="88" t="str">
        <f t="shared" si="33"/>
        <v>Aj</v>
      </c>
      <c r="AK33" s="88" t="str">
        <f t="shared" si="33"/>
        <v>Ak</v>
      </c>
      <c r="AL33" s="88" t="str">
        <f t="shared" si="33"/>
        <v>Al</v>
      </c>
    </row>
    <row r="34" spans="29:39" ht="12.75">
      <c r="AC34" s="89">
        <f>$AA$21</f>
        <v>1</v>
      </c>
      <c r="AD34" s="89">
        <f>$AA$22</f>
        <v>2</v>
      </c>
      <c r="AE34" s="89">
        <f>$AA$23</f>
        <v>3</v>
      </c>
      <c r="AF34" s="89">
        <f>$AA$24</f>
        <v>4</v>
      </c>
      <c r="AG34" s="89">
        <f>$AA$25</f>
        <v>5</v>
      </c>
      <c r="AH34" s="89">
        <f>$AA$26</f>
        <v>6</v>
      </c>
      <c r="AI34" s="89">
        <f>$AA$27</f>
        <v>7</v>
      </c>
      <c r="AJ34" s="89">
        <f>$AA$28</f>
        <v>8</v>
      </c>
      <c r="AK34" s="89">
        <f>$AA$29</f>
        <v>9</v>
      </c>
      <c r="AL34" s="89">
        <f>$AA$30</f>
        <v>10</v>
      </c>
      <c r="AM34" s="18"/>
    </row>
    <row r="35" spans="28:39" ht="12.75">
      <c r="AB35" s="2">
        <v>21</v>
      </c>
      <c r="AC35" s="2" t="str">
        <f ca="1" t="shared" si="34" ref="AC35:AC44">INDIRECT(AC$33&amp;$AB35)</f>
        <v> </v>
      </c>
      <c r="AD35" s="2" t="str">
        <f ca="1" t="shared" si="35" ref="AD35:AL44">INDIRECT(AD$33&amp;$AB35)</f>
        <v> </v>
      </c>
      <c r="AE35" s="2" t="str">
        <f ca="1" t="shared" si="35"/>
        <v> </v>
      </c>
      <c r="AF35" s="2" t="str">
        <f ca="1" t="shared" si="35"/>
        <v> </v>
      </c>
      <c r="AG35" s="2" t="str">
        <f ca="1" t="shared" si="35"/>
        <v> </v>
      </c>
      <c r="AH35" s="2" t="str">
        <f ca="1" t="shared" si="35"/>
        <v> </v>
      </c>
      <c r="AI35" s="2" t="str">
        <f ca="1" t="shared" si="35"/>
        <v> </v>
      </c>
      <c r="AJ35" s="2" t="str">
        <f ca="1" t="shared" si="35"/>
        <v> </v>
      </c>
      <c r="AK35" s="2" t="str">
        <f ca="1" t="shared" si="35"/>
        <v> </v>
      </c>
      <c r="AL35" s="2" t="str">
        <f ca="1" t="shared" si="35"/>
        <v> </v>
      </c>
      <c r="AM35" s="9"/>
    </row>
    <row r="36" spans="28:39" ht="12.75">
      <c r="AB36" s="2">
        <v>22</v>
      </c>
      <c r="AC36" s="2" t="str">
        <f ca="1" t="shared" si="34"/>
        <v> </v>
      </c>
      <c r="AD36" s="2" t="str">
        <f ca="1" t="shared" si="35"/>
        <v> </v>
      </c>
      <c r="AE36" s="2" t="str">
        <f ca="1" t="shared" si="35"/>
        <v> </v>
      </c>
      <c r="AF36" s="2" t="str">
        <f ca="1" t="shared" si="35"/>
        <v> </v>
      </c>
      <c r="AG36" s="2" t="str">
        <f ca="1" t="shared" si="35"/>
        <v> </v>
      </c>
      <c r="AH36" s="2" t="str">
        <f ca="1" t="shared" si="35"/>
        <v> </v>
      </c>
      <c r="AI36" s="2" t="str">
        <f ca="1" t="shared" si="35"/>
        <v> </v>
      </c>
      <c r="AJ36" s="2" t="str">
        <f ca="1" t="shared" si="35"/>
        <v> </v>
      </c>
      <c r="AK36" s="2" t="str">
        <f ca="1" t="shared" si="35"/>
        <v> </v>
      </c>
      <c r="AL36" s="2" t="str">
        <f ca="1" t="shared" si="35"/>
        <v> </v>
      </c>
      <c r="AM36" s="2"/>
    </row>
    <row r="37" spans="28:39" ht="12.75">
      <c r="AB37" s="2">
        <v>23</v>
      </c>
      <c r="AC37" s="2" t="str">
        <f ca="1" t="shared" si="34"/>
        <v> </v>
      </c>
      <c r="AD37" s="2" t="str">
        <f ca="1" t="shared" si="35"/>
        <v> </v>
      </c>
      <c r="AE37" s="2" t="str">
        <f ca="1" t="shared" si="35"/>
        <v> </v>
      </c>
      <c r="AF37" s="2" t="str">
        <f ca="1" t="shared" si="35"/>
        <v> </v>
      </c>
      <c r="AG37" s="2" t="str">
        <f ca="1" t="shared" si="35"/>
        <v> </v>
      </c>
      <c r="AH37" s="2" t="str">
        <f ca="1" t="shared" si="35"/>
        <v> </v>
      </c>
      <c r="AI37" s="2" t="str">
        <f ca="1" t="shared" si="35"/>
        <v> </v>
      </c>
      <c r="AJ37" s="2" t="str">
        <f ca="1" t="shared" si="35"/>
        <v> </v>
      </c>
      <c r="AK37" s="2" t="str">
        <f ca="1" t="shared" si="35"/>
        <v> </v>
      </c>
      <c r="AL37" s="2" t="str">
        <f ca="1" t="shared" si="35"/>
        <v> </v>
      </c>
      <c r="AM37" s="2"/>
    </row>
    <row r="38" spans="28:39" ht="12.75">
      <c r="AB38" s="4">
        <v>24</v>
      </c>
      <c r="AC38" s="2" t="str">
        <f ca="1" t="shared" si="34"/>
        <v> </v>
      </c>
      <c r="AD38" s="2" t="str">
        <f ca="1" t="shared" si="35"/>
        <v> </v>
      </c>
      <c r="AE38" s="2" t="str">
        <f ca="1" t="shared" si="35"/>
        <v> </v>
      </c>
      <c r="AF38" s="2" t="str">
        <f ca="1" t="shared" si="35"/>
        <v> </v>
      </c>
      <c r="AG38" s="2" t="str">
        <f ca="1" t="shared" si="35"/>
        <v> </v>
      </c>
      <c r="AH38" s="2" t="str">
        <f ca="1" t="shared" si="35"/>
        <v> </v>
      </c>
      <c r="AI38" s="2" t="str">
        <f ca="1" t="shared" si="35"/>
        <v> </v>
      </c>
      <c r="AJ38" s="2" t="str">
        <f ca="1" t="shared" si="35"/>
        <v> </v>
      </c>
      <c r="AK38" s="2" t="str">
        <f ca="1" t="shared" si="35"/>
        <v> </v>
      </c>
      <c r="AL38" s="2" t="str">
        <f ca="1" t="shared" si="35"/>
        <v> </v>
      </c>
      <c r="AM38" s="2"/>
    </row>
    <row r="39" spans="28:39" ht="12.75">
      <c r="AB39" s="4">
        <v>25</v>
      </c>
      <c r="AC39" s="2" t="str">
        <f ca="1" t="shared" si="34"/>
        <v> </v>
      </c>
      <c r="AD39" s="2" t="str">
        <f ca="1" t="shared" si="35"/>
        <v> </v>
      </c>
      <c r="AE39" s="2" t="str">
        <f ca="1" t="shared" si="35"/>
        <v> </v>
      </c>
      <c r="AF39" s="2" t="str">
        <f ca="1" t="shared" si="35"/>
        <v> </v>
      </c>
      <c r="AG39" s="2" t="str">
        <f ca="1" t="shared" si="35"/>
        <v> </v>
      </c>
      <c r="AH39" s="2" t="str">
        <f ca="1" t="shared" si="35"/>
        <v> </v>
      </c>
      <c r="AI39" s="2" t="str">
        <f ca="1" t="shared" si="35"/>
        <v> </v>
      </c>
      <c r="AJ39" s="2" t="str">
        <f ca="1" t="shared" si="35"/>
        <v> </v>
      </c>
      <c r="AK39" s="2" t="str">
        <f ca="1" t="shared" si="35"/>
        <v> </v>
      </c>
      <c r="AL39" s="2" t="str">
        <f ca="1" t="shared" si="35"/>
        <v> </v>
      </c>
      <c r="AM39" s="2"/>
    </row>
    <row r="40" spans="28:39" ht="12.75">
      <c r="AB40" s="4">
        <v>26</v>
      </c>
      <c r="AC40" s="2" t="str">
        <f ca="1" t="shared" si="34"/>
        <v> </v>
      </c>
      <c r="AD40" s="2" t="str">
        <f ca="1" t="shared" si="35"/>
        <v> </v>
      </c>
      <c r="AE40" s="2" t="str">
        <f ca="1" t="shared" si="35"/>
        <v> </v>
      </c>
      <c r="AF40" s="2" t="str">
        <f ca="1" t="shared" si="35"/>
        <v> </v>
      </c>
      <c r="AG40" s="2" t="str">
        <f ca="1" t="shared" si="35"/>
        <v> </v>
      </c>
      <c r="AH40" s="2" t="str">
        <f ca="1" t="shared" si="35"/>
        <v> </v>
      </c>
      <c r="AI40" s="2" t="str">
        <f ca="1" t="shared" si="35"/>
        <v> </v>
      </c>
      <c r="AJ40" s="2" t="str">
        <f ca="1" t="shared" si="35"/>
        <v> </v>
      </c>
      <c r="AK40" s="2" t="str">
        <f ca="1" t="shared" si="35"/>
        <v> </v>
      </c>
      <c r="AL40" s="2" t="str">
        <f ca="1" t="shared" si="35"/>
        <v> </v>
      </c>
      <c r="AM40" s="2"/>
    </row>
    <row r="41" spans="28:39" ht="12.75">
      <c r="AB41" s="4">
        <v>27</v>
      </c>
      <c r="AC41" s="2" t="str">
        <f ca="1" t="shared" si="34"/>
        <v> </v>
      </c>
      <c r="AD41" s="2" t="str">
        <f ca="1" t="shared" si="35"/>
        <v> </v>
      </c>
      <c r="AE41" s="2" t="str">
        <f ca="1" t="shared" si="35"/>
        <v> </v>
      </c>
      <c r="AF41" s="2" t="str">
        <f ca="1" t="shared" si="35"/>
        <v> </v>
      </c>
      <c r="AG41" s="2" t="str">
        <f ca="1" t="shared" si="35"/>
        <v> </v>
      </c>
      <c r="AH41" s="2" t="str">
        <f ca="1" t="shared" si="35"/>
        <v> </v>
      </c>
      <c r="AI41" s="2" t="str">
        <f ca="1" t="shared" si="35"/>
        <v> </v>
      </c>
      <c r="AJ41" s="2" t="str">
        <f ca="1" t="shared" si="35"/>
        <v> </v>
      </c>
      <c r="AK41" s="2" t="str">
        <f ca="1" t="shared" si="35"/>
        <v> </v>
      </c>
      <c r="AL41" s="2" t="str">
        <f ca="1" t="shared" si="35"/>
        <v> </v>
      </c>
      <c r="AM41" s="2"/>
    </row>
    <row r="42" spans="28:39" ht="12.75">
      <c r="AB42" s="4">
        <v>28</v>
      </c>
      <c r="AC42" s="2" t="str">
        <f ca="1" t="shared" si="34"/>
        <v> </v>
      </c>
      <c r="AD42" s="2" t="str">
        <f ca="1" t="shared" si="35"/>
        <v> </v>
      </c>
      <c r="AE42" s="2" t="str">
        <f ca="1" t="shared" si="35"/>
        <v> </v>
      </c>
      <c r="AF42" s="2" t="str">
        <f ca="1" t="shared" si="35"/>
        <v> </v>
      </c>
      <c r="AG42" s="2" t="str">
        <f ca="1" t="shared" si="35"/>
        <v> </v>
      </c>
      <c r="AH42" s="2" t="str">
        <f ca="1" t="shared" si="35"/>
        <v> </v>
      </c>
      <c r="AI42" s="2" t="str">
        <f ca="1" t="shared" si="35"/>
        <v> </v>
      </c>
      <c r="AJ42" s="2" t="str">
        <f ca="1" t="shared" si="35"/>
        <v> </v>
      </c>
      <c r="AK42" s="2" t="str">
        <f ca="1" t="shared" si="35"/>
        <v> </v>
      </c>
      <c r="AL42" s="2" t="str">
        <f ca="1" t="shared" si="35"/>
        <v> </v>
      </c>
      <c r="AM42" s="2"/>
    </row>
    <row r="43" spans="28:39" ht="12.75">
      <c r="AB43" s="4">
        <v>29</v>
      </c>
      <c r="AC43" s="2" t="str">
        <f ca="1" t="shared" si="34"/>
        <v> </v>
      </c>
      <c r="AD43" s="2" t="str">
        <f ca="1" t="shared" si="35"/>
        <v> </v>
      </c>
      <c r="AE43" s="2" t="str">
        <f ca="1" t="shared" si="35"/>
        <v> </v>
      </c>
      <c r="AF43" s="2" t="str">
        <f ca="1" t="shared" si="35"/>
        <v> </v>
      </c>
      <c r="AG43" s="2" t="str">
        <f ca="1" t="shared" si="35"/>
        <v> </v>
      </c>
      <c r="AH43" s="2" t="str">
        <f ca="1" t="shared" si="35"/>
        <v> </v>
      </c>
      <c r="AI43" s="2" t="str">
        <f ca="1" t="shared" si="35"/>
        <v> </v>
      </c>
      <c r="AJ43" s="2" t="str">
        <f ca="1" t="shared" si="35"/>
        <v> </v>
      </c>
      <c r="AK43" s="2" t="str">
        <f ca="1" t="shared" si="35"/>
        <v> </v>
      </c>
      <c r="AL43" s="2" t="str">
        <f ca="1" t="shared" si="35"/>
        <v> </v>
      </c>
      <c r="AM43" s="2"/>
    </row>
    <row r="44" spans="28:39" ht="12.75">
      <c r="AB44" s="4">
        <v>30</v>
      </c>
      <c r="AC44" s="2" t="str">
        <f ca="1" t="shared" si="34"/>
        <v> </v>
      </c>
      <c r="AD44" s="2" t="str">
        <f ca="1" t="shared" si="35"/>
        <v> </v>
      </c>
      <c r="AE44" s="2" t="str">
        <f ca="1" t="shared" si="35"/>
        <v> </v>
      </c>
      <c r="AF44" s="2" t="str">
        <f ca="1" t="shared" si="35"/>
        <v> </v>
      </c>
      <c r="AG44" s="2" t="str">
        <f ca="1" t="shared" si="35"/>
        <v> </v>
      </c>
      <c r="AH44" s="2" t="str">
        <f ca="1" t="shared" si="35"/>
        <v> </v>
      </c>
      <c r="AI44" s="2" t="str">
        <f ca="1" t="shared" si="35"/>
        <v> </v>
      </c>
      <c r="AJ44" s="2" t="str">
        <f ca="1" t="shared" si="35"/>
        <v> </v>
      </c>
      <c r="AK44" s="2" t="str">
        <f ca="1" t="shared" si="35"/>
        <v> </v>
      </c>
      <c r="AL44" s="2" t="str">
        <f ca="1" t="shared" si="35"/>
        <v> </v>
      </c>
      <c r="AM44" s="2"/>
    </row>
    <row r="45" ht="12.75">
      <c r="AM45" s="2"/>
    </row>
  </sheetData>
  <mergeCells count="1">
    <mergeCell ref="B2:L2"/>
  </mergeCells>
  <conditionalFormatting sqref="C30 C14">
    <cfRule type="cellIs" priority="1" dxfId="0" operator="equal" stopIfTrue="1">
      <formula>"spielfrei"</formula>
    </cfRule>
  </conditionalFormatting>
  <conditionalFormatting sqref="N30 N14">
    <cfRule type="expression" priority="2" dxfId="0" stopIfTrue="1">
      <formula>C14="spielfrei"</formula>
    </cfRule>
  </conditionalFormatting>
  <conditionalFormatting sqref="O30 O14">
    <cfRule type="expression" priority="3" dxfId="0" stopIfTrue="1">
      <formula>C14="spielfrei"</formula>
    </cfRule>
  </conditionalFormatting>
  <conditionalFormatting sqref="P30 P14">
    <cfRule type="expression" priority="4" dxfId="0" stopIfTrue="1">
      <formula>C14="spielfrei"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1:BV29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4.28125" style="0" customWidth="1"/>
    <col min="3" max="3" width="20.7109375" style="0" customWidth="1"/>
    <col min="4" max="4" width="4.28125" style="0" customWidth="1"/>
    <col min="5" max="5" width="10.7109375" style="0" customWidth="1"/>
    <col min="7" max="7" width="5.140625" style="0" customWidth="1"/>
    <col min="8" max="8" width="5.140625" style="0" hidden="1" customWidth="1"/>
    <col min="9" max="9" width="4.28125" style="0" hidden="1" customWidth="1"/>
    <col min="10" max="10" width="20.7109375" style="0" hidden="1" customWidth="1"/>
    <col min="11" max="11" width="4.28125" style="0" hidden="1" customWidth="1"/>
    <col min="12" max="12" width="10.7109375" style="0" hidden="1" customWidth="1"/>
    <col min="13" max="14" width="11.421875" style="0" hidden="1" customWidth="1"/>
    <col min="15" max="16" width="3.7109375" style="0" hidden="1" customWidth="1"/>
    <col min="17" max="19" width="11.421875" style="0" hidden="1" customWidth="1"/>
    <col min="20" max="20" width="4.28125" style="1" hidden="1" customWidth="1"/>
    <col min="21" max="26" width="11.421875" style="0" hidden="1" customWidth="1"/>
    <col min="27" max="27" width="17.57421875" style="0" hidden="1" customWidth="1"/>
    <col min="28" max="29" width="6.7109375" style="1" hidden="1" customWidth="1"/>
    <col min="30" max="65" width="8.7109375" style="0" hidden="1" customWidth="1"/>
    <col min="66" max="74" width="11.421875" style="0" hidden="1" customWidth="1"/>
  </cols>
  <sheetData>
    <row r="1" spans="2:74" ht="24.75" customHeight="1">
      <c r="B1" s="78" t="str">
        <f>Eingabe!$G$3</f>
        <v>z. B. Monatsblitzturnier</v>
      </c>
      <c r="C1" s="12"/>
      <c r="D1" s="12"/>
      <c r="E1" s="12"/>
      <c r="F1" s="12"/>
      <c r="BN1" s="144" t="s">
        <v>49</v>
      </c>
      <c r="BO1" s="145" t="s">
        <v>50</v>
      </c>
      <c r="BP1" s="145" t="s">
        <v>51</v>
      </c>
      <c r="BQ1" s="145" t="s">
        <v>52</v>
      </c>
      <c r="BR1" s="145" t="s">
        <v>53</v>
      </c>
      <c r="BS1" s="145" t="s">
        <v>54</v>
      </c>
      <c r="BT1" s="92" t="s">
        <v>55</v>
      </c>
      <c r="BU1" s="146"/>
      <c r="BV1" s="138"/>
    </row>
    <row r="2" spans="2:74" ht="19.5" customHeight="1" thickBot="1">
      <c r="B2" s="49"/>
      <c r="C2" s="49"/>
      <c r="D2" s="50"/>
      <c r="E2" s="61" t="s">
        <v>3</v>
      </c>
      <c r="F2" s="51" t="str">
        <f>Eingabe!G2</f>
        <v>??.??.????</v>
      </c>
      <c r="I2" s="2"/>
      <c r="J2" s="2"/>
      <c r="K2" s="2"/>
      <c r="L2" s="2"/>
      <c r="M2" s="2"/>
      <c r="AD2" s="176" t="s">
        <v>46</v>
      </c>
      <c r="AE2" s="177"/>
      <c r="AF2" s="177"/>
      <c r="AG2" s="177"/>
      <c r="AH2" s="177"/>
      <c r="AI2" s="177"/>
      <c r="AJ2" s="177"/>
      <c r="AK2" s="177"/>
      <c r="AL2" s="177"/>
      <c r="AM2" s="176" t="s">
        <v>47</v>
      </c>
      <c r="AN2" s="177"/>
      <c r="AO2" s="177"/>
      <c r="AP2" s="177"/>
      <c r="AQ2" s="177"/>
      <c r="AR2" s="177"/>
      <c r="AS2" s="177"/>
      <c r="AT2" s="177"/>
      <c r="AU2" s="177"/>
      <c r="AV2" s="176" t="s">
        <v>64</v>
      </c>
      <c r="AW2" s="177"/>
      <c r="AX2" s="177"/>
      <c r="AY2" s="177"/>
      <c r="AZ2" s="177"/>
      <c r="BA2" s="177"/>
      <c r="BB2" s="177"/>
      <c r="BC2" s="177"/>
      <c r="BD2" s="177"/>
      <c r="BE2" s="176" t="s">
        <v>48</v>
      </c>
      <c r="BF2" s="177"/>
      <c r="BG2" s="177"/>
      <c r="BH2" s="177"/>
      <c r="BI2" s="177"/>
      <c r="BJ2" s="177"/>
      <c r="BK2" s="177"/>
      <c r="BL2" s="177"/>
      <c r="BM2" s="177"/>
      <c r="BN2" s="147" t="s">
        <v>56</v>
      </c>
      <c r="BO2" s="148" t="s">
        <v>57</v>
      </c>
      <c r="BP2" s="149" t="s">
        <v>58</v>
      </c>
      <c r="BQ2" s="149" t="s">
        <v>59</v>
      </c>
      <c r="BR2" s="149" t="s">
        <v>60</v>
      </c>
      <c r="BS2" s="149" t="s">
        <v>61</v>
      </c>
      <c r="BT2" s="149" t="s">
        <v>62</v>
      </c>
      <c r="BU2" s="149" t="s">
        <v>63</v>
      </c>
      <c r="BV2" s="138"/>
    </row>
    <row r="3" spans="2:74" ht="19.5" customHeight="1">
      <c r="B3" s="35"/>
      <c r="C3" s="81" t="s">
        <v>19</v>
      </c>
      <c r="D3" s="37"/>
      <c r="E3" s="37"/>
      <c r="F3" s="38"/>
      <c r="I3" s="35"/>
      <c r="J3" s="36"/>
      <c r="K3" s="37"/>
      <c r="L3" s="37"/>
      <c r="M3" s="38"/>
      <c r="O3" s="1"/>
      <c r="P3" s="1"/>
      <c r="AA3" s="136" t="s">
        <v>42</v>
      </c>
      <c r="AB3" s="90" t="s">
        <v>44</v>
      </c>
      <c r="AC3" s="90" t="s">
        <v>43</v>
      </c>
      <c r="AD3" s="137" t="s">
        <v>4</v>
      </c>
      <c r="AE3" s="3" t="s">
        <v>5</v>
      </c>
      <c r="AF3" s="3" t="s">
        <v>6</v>
      </c>
      <c r="AG3" s="3" t="s">
        <v>8</v>
      </c>
      <c r="AH3" s="3" t="s">
        <v>9</v>
      </c>
      <c r="AI3" s="3" t="s">
        <v>10</v>
      </c>
      <c r="AJ3" s="3" t="s">
        <v>11</v>
      </c>
      <c r="AK3" s="3" t="s">
        <v>12</v>
      </c>
      <c r="AL3" s="3" t="s">
        <v>13</v>
      </c>
      <c r="AM3" s="137" t="s">
        <v>4</v>
      </c>
      <c r="AN3" s="3" t="s">
        <v>5</v>
      </c>
      <c r="AO3" s="3" t="s">
        <v>6</v>
      </c>
      <c r="AP3" s="3" t="s">
        <v>8</v>
      </c>
      <c r="AQ3" s="3" t="s">
        <v>9</v>
      </c>
      <c r="AR3" s="3" t="s">
        <v>10</v>
      </c>
      <c r="AS3" s="3" t="s">
        <v>11</v>
      </c>
      <c r="AT3" s="3" t="s">
        <v>12</v>
      </c>
      <c r="AU3" s="3" t="s">
        <v>13</v>
      </c>
      <c r="AV3" s="137" t="s">
        <v>4</v>
      </c>
      <c r="AW3" s="3" t="s">
        <v>5</v>
      </c>
      <c r="AX3" s="3" t="s">
        <v>6</v>
      </c>
      <c r="AY3" s="3" t="s">
        <v>8</v>
      </c>
      <c r="AZ3" s="3" t="s">
        <v>9</v>
      </c>
      <c r="BA3" s="3" t="s">
        <v>10</v>
      </c>
      <c r="BB3" s="3" t="s">
        <v>11</v>
      </c>
      <c r="BC3" s="3" t="s">
        <v>12</v>
      </c>
      <c r="BD3" s="3" t="s">
        <v>13</v>
      </c>
      <c r="BE3" s="137" t="s">
        <v>4</v>
      </c>
      <c r="BF3" s="3" t="s">
        <v>5</v>
      </c>
      <c r="BG3" s="3" t="s">
        <v>6</v>
      </c>
      <c r="BH3" s="3" t="s">
        <v>8</v>
      </c>
      <c r="BI3" s="3" t="s">
        <v>9</v>
      </c>
      <c r="BJ3" s="3" t="s">
        <v>10</v>
      </c>
      <c r="BK3" s="3" t="s">
        <v>11</v>
      </c>
      <c r="BL3" s="3" t="s">
        <v>12</v>
      </c>
      <c r="BM3" s="3" t="s">
        <v>13</v>
      </c>
      <c r="BN3" s="138"/>
      <c r="BV3" s="138"/>
    </row>
    <row r="4" spans="2:74" ht="19.5" customHeight="1">
      <c r="B4" s="39"/>
      <c r="C4" s="82" t="str">
        <f>J4</f>
        <v>Stand nach der 0. Runde</v>
      </c>
      <c r="D4" s="40"/>
      <c r="E4" s="53" t="s">
        <v>17</v>
      </c>
      <c r="F4" s="54" t="s">
        <v>16</v>
      </c>
      <c r="I4" s="39"/>
      <c r="J4" s="79" t="str">
        <f>IF(EXACT("spielfrei",Eingabe!C15)=TRUE,Q4,R4)</f>
        <v>Stand nach der 0. Runde</v>
      </c>
      <c r="K4" s="40"/>
      <c r="L4" s="53" t="s">
        <v>17</v>
      </c>
      <c r="M4" s="54" t="s">
        <v>16</v>
      </c>
      <c r="O4" s="29">
        <f>IF(SUM(K5:K13)=72,1,0)</f>
        <v>0</v>
      </c>
      <c r="P4" s="29"/>
      <c r="Q4" s="80" t="str">
        <f>IF((SUM(K5:K13))/8=MAX(K5:K13)+O4,"Stand nach der "&amp;(MAX(K5:K13)+O4)&amp;". Runde","")</f>
        <v>Stand nach der 0. Runde</v>
      </c>
      <c r="R4" s="80" t="str">
        <f>IF((SUM(K5:K14))/10=MAX(K5:K14),"Stand nach der "&amp;MAX(K5:K14)&amp;". Runde","")</f>
        <v>Stand nach der 0. Runde</v>
      </c>
      <c r="AA4" t="str">
        <f>Eingabe!C6</f>
        <v>Spieler 1</v>
      </c>
      <c r="AB4" s="1">
        <f>IF(Eingabe!E6=" ",0,Eingabe!E6)</f>
        <v>0</v>
      </c>
      <c r="AC4" s="1">
        <f>IF(Eingabe!D6=5,5,IF(Eingabe!D6=10,10,15))</f>
        <v>15</v>
      </c>
      <c r="AD4" s="137">
        <f>$AB$13</f>
        <v>0</v>
      </c>
      <c r="AE4" s="3">
        <f>$AB$11</f>
        <v>0</v>
      </c>
      <c r="AF4" s="3">
        <f>$AB$9</f>
        <v>0</v>
      </c>
      <c r="AG4" s="3">
        <f>$AB$7</f>
        <v>0</v>
      </c>
      <c r="AH4" s="3">
        <f>$AB$5</f>
        <v>0</v>
      </c>
      <c r="AI4" s="3">
        <f>$AB$12</f>
        <v>0</v>
      </c>
      <c r="AJ4" s="3">
        <f>$AB$10</f>
        <v>0</v>
      </c>
      <c r="AK4" s="3">
        <f>$AB$8</f>
        <v>0</v>
      </c>
      <c r="AL4" s="3">
        <f>$AB$6</f>
        <v>0</v>
      </c>
      <c r="AM4" s="137" t="str">
        <f>'10 Spieler'!$G$12</f>
        <v> </v>
      </c>
      <c r="AN4" s="3" t="str">
        <f>'10 Spieler'!$Q$13</f>
        <v> </v>
      </c>
      <c r="AO4" s="3" t="str">
        <f>'10 Spieler'!$Y$14</f>
        <v> </v>
      </c>
      <c r="AP4" s="3" t="str">
        <f>'10 Spieler'!$I$24</f>
        <v> </v>
      </c>
      <c r="AQ4" s="3" t="str">
        <f>'10 Spieler'!$Q$25</f>
        <v> </v>
      </c>
      <c r="AR4" s="3" t="str">
        <f>'10 Spieler'!$W$25</f>
        <v> </v>
      </c>
      <c r="AS4" s="3" t="str">
        <f>'10 Spieler'!$G$33</f>
        <v> </v>
      </c>
      <c r="AT4" s="3" t="str">
        <f>'10 Spieler'!$O$32</f>
        <v> </v>
      </c>
      <c r="AU4" s="3" t="str">
        <f>'10 Spieler'!$W$31</f>
        <v> </v>
      </c>
      <c r="AV4" s="137" t="str">
        <f>IF(AD4=0," ",AM4)</f>
        <v> </v>
      </c>
      <c r="AW4" s="3" t="str">
        <f aca="true" t="shared" si="0" ref="AW4:AW13">IF(AE4=0," ",AN4)</f>
        <v> </v>
      </c>
      <c r="AX4" s="3" t="str">
        <f aca="true" t="shared" si="1" ref="AX4:AX13">IF(AF4=0," ",AO4)</f>
        <v> </v>
      </c>
      <c r="AY4" s="3" t="str">
        <f aca="true" t="shared" si="2" ref="AY4:AY13">IF(AG4=0," ",AP4)</f>
        <v> </v>
      </c>
      <c r="AZ4" s="3" t="str">
        <f aca="true" t="shared" si="3" ref="AZ4:AZ13">IF(AH4=0," ",AQ4)</f>
        <v> </v>
      </c>
      <c r="BA4" s="3" t="str">
        <f aca="true" t="shared" si="4" ref="BA4:BA13">IF(AI4=0," ",AR4)</f>
        <v> </v>
      </c>
      <c r="BB4" s="3" t="str">
        <f aca="true" t="shared" si="5" ref="BB4:BB13">IF(AJ4=0," ",AS4)</f>
        <v> </v>
      </c>
      <c r="BC4" s="3" t="str">
        <f aca="true" t="shared" si="6" ref="BC4:BC13">IF(AK4=0," ",AT4)</f>
        <v> </v>
      </c>
      <c r="BD4" s="3" t="str">
        <f aca="true" t="shared" si="7" ref="BD4:BD13">IF(AL4=0," ",AU4)</f>
        <v> </v>
      </c>
      <c r="BE4" s="142">
        <f>IF(AV4=" ",0,ROUND(1/(1+(POWER(10,(-1*($AB4-AD4)/400)))),3))</f>
        <v>0</v>
      </c>
      <c r="BF4" s="143">
        <f aca="true" t="shared" si="8" ref="BF4:BF13">IF(AW4=" ",0,ROUND(1/(1+(POWER(10,(-1*($AB4-AE4)/400)))),3))</f>
        <v>0</v>
      </c>
      <c r="BG4" s="143">
        <f aca="true" t="shared" si="9" ref="BG4:BG13">IF(AX4=" ",0,ROUND(1/(1+(POWER(10,(-1*($AB4-AF4)/400)))),3))</f>
        <v>0</v>
      </c>
      <c r="BH4" s="143">
        <f aca="true" t="shared" si="10" ref="BH4:BH13">IF(AY4=" ",0,ROUND(1/(1+(POWER(10,(-1*($AB4-AG4)/400)))),3))</f>
        <v>0</v>
      </c>
      <c r="BI4" s="143">
        <f aca="true" t="shared" si="11" ref="BI4:BI13">IF(AZ4=" ",0,ROUND(1/(1+(POWER(10,(-1*($AB4-AH4)/400)))),3))</f>
        <v>0</v>
      </c>
      <c r="BJ4" s="143">
        <f aca="true" t="shared" si="12" ref="BJ4:BJ13">IF(BA4=" ",0,ROUND(1/(1+(POWER(10,(-1*($AB4-AI4)/400)))),3))</f>
        <v>0</v>
      </c>
      <c r="BK4" s="143">
        <f aca="true" t="shared" si="13" ref="BK4:BK13">IF(BB4=" ",0,ROUND(1/(1+(POWER(10,(-1*($AB4-AJ4)/400)))),3))</f>
        <v>0</v>
      </c>
      <c r="BL4" s="143">
        <f aca="true" t="shared" si="14" ref="BL4:BL13">IF(BC4=" ",0,ROUND(1/(1+(POWER(10,(-1*($AB4-AK4)/400)))),3))</f>
        <v>0</v>
      </c>
      <c r="BM4" s="143">
        <f aca="true" t="shared" si="15" ref="BM4:BM13">IF(BD4=" ",0,ROUND(1/(1+(POWER(10,(-1*($AB4-AL4)/400)))),3))</f>
        <v>0</v>
      </c>
      <c r="BN4" s="150">
        <f>SUM(BE4:BM4)</f>
        <v>0</v>
      </c>
      <c r="BO4" s="1">
        <f>1*((COUNTIF(AV4:BD4,0))+(COUNTIF(AV4:BD4,0.5))+(COUNTIF(AV4:BD4,1)))</f>
        <v>0</v>
      </c>
      <c r="BP4" s="146">
        <f>POWER((AB4/1000),4)+AC4</f>
        <v>15</v>
      </c>
      <c r="BQ4" s="146">
        <f>IF(AI4=5,IF(BT4&gt;=BN4,AH4/2000,1),1)</f>
        <v>1</v>
      </c>
      <c r="BR4" s="146">
        <f>IF(BT4&gt;=BN4,0,IF((IF(AI4=5,IF(AH4&lt;1300,(POWER(2.71828,(1300-AH4)/150))-1,0),0))&gt;150,150,IF(AI4=5,IF(AH4&lt;1300,(POWER(2.71828,(1300-AH4)/150))-1,0),0)))</f>
        <v>0</v>
      </c>
      <c r="BS4" s="146">
        <f>IF(BR4&gt;0,IF((ROUND((BP4*BQ4)+BR4,0))&lt;5,5,(ROUND((BP4*BQ4)+BR4,0))),IF(IF((ROUND((BP4*BQ4)+BR4,0))&lt;5,5,(ROUND((BP4*BQ4)+BR4,0)))&gt;30,30,IF((ROUND((BP4*BQ4)+BR4,0))&lt;5,5,(ROUND((BP4*BQ4)+BR4,0)))))</f>
        <v>15</v>
      </c>
      <c r="BT4" s="1">
        <f>SUM(AV4:BD4)</f>
        <v>0</v>
      </c>
      <c r="BU4" s="1">
        <f>IF(AB4=0,0,IF(BO4=0,AB4,ROUND(AB4+800*(BT4-BN4)/(BS4+BO4),0)))</f>
        <v>0</v>
      </c>
      <c r="BV4" s="138"/>
    </row>
    <row r="5" spans="2:74" ht="19.5" customHeight="1">
      <c r="B5" s="41" t="str">
        <f>IF(D5=0," ","1.")</f>
        <v> </v>
      </c>
      <c r="C5" s="42" t="str">
        <f>VLOOKUP($T5,$I$5:$M$14,2,FALSE)</f>
        <v>Spieler 1</v>
      </c>
      <c r="D5" s="43">
        <f>VLOOKUP($T5,$I$5:$M$14,3,FALSE)</f>
        <v>0</v>
      </c>
      <c r="E5" s="57">
        <f>VLOOKUP($T5,$I$5:$M$14,4,FALSE)</f>
      </c>
      <c r="F5" s="62" t="str">
        <f>VLOOKUP($T5,$I$5:$M$14,5,FALSE)</f>
        <v> </v>
      </c>
      <c r="I5" s="41">
        <f>RANK(N5,$N$5:$N$14,0)</f>
        <v>1</v>
      </c>
      <c r="J5" s="42" t="str">
        <f>Eingabe!C6</f>
        <v>Spieler 1</v>
      </c>
      <c r="K5" s="43">
        <f>IF(COUNT('Kreuztabelle 10'!D21:'Kreuztabelle 10'!M21)&gt;0,COUNT('Kreuztabelle 10'!D21:'Kreuztabelle 10'!M21),0)</f>
        <v>0</v>
      </c>
      <c r="L5" s="57">
        <f>'Kreuztabelle 10'!O21</f>
      </c>
      <c r="M5" s="62" t="str">
        <f>'Kreuztabelle 10'!N21</f>
        <v> </v>
      </c>
      <c r="N5">
        <f>IF(M5=" ",0.1,M5*100000+L5*1000-K5+0.1)</f>
        <v>0.1</v>
      </c>
      <c r="O5" s="64">
        <f>COUNTIF($P$5:$P$14,P5)</f>
        <v>10</v>
      </c>
      <c r="P5" s="64" t="e">
        <f>IF((D5+E5+F5)=0," ",1)</f>
        <v>#VALUE!</v>
      </c>
      <c r="Q5" s="65" t="e">
        <f>IF(O5=1,P5&amp;".",P5&amp;".- "&amp;(P5+O5-1)&amp;".")</f>
        <v>#VALUE!</v>
      </c>
      <c r="R5" s="65" t="str">
        <f aca="true" t="shared" si="16" ref="R5:R14">IF(SUM($D$5:$D$14)=0," ",Q5)</f>
        <v> </v>
      </c>
      <c r="T5" s="1">
        <v>1</v>
      </c>
      <c r="AA5" t="str">
        <f>Eingabe!C7</f>
        <v>Spieler 2</v>
      </c>
      <c r="AB5" s="1">
        <f>IF(Eingabe!E7=" ",0,Eingabe!E7)</f>
        <v>0</v>
      </c>
      <c r="AC5" s="1">
        <f>IF(Eingabe!D7=5,5,IF(Eingabe!D7=10,10,15))</f>
        <v>15</v>
      </c>
      <c r="AD5" s="137">
        <f>$AB$12</f>
        <v>0</v>
      </c>
      <c r="AE5" s="3">
        <f>$AB$10</f>
        <v>0</v>
      </c>
      <c r="AF5" s="3">
        <f>$AB$8</f>
        <v>0</v>
      </c>
      <c r="AG5" s="3">
        <f>$AB$6</f>
        <v>0</v>
      </c>
      <c r="AH5" s="3">
        <f>$AB$4</f>
        <v>0</v>
      </c>
      <c r="AI5" s="3">
        <f>$AB$11</f>
        <v>0</v>
      </c>
      <c r="AJ5" s="3">
        <f>$AB$9</f>
        <v>0</v>
      </c>
      <c r="AK5" s="3">
        <f>$AB$7</f>
        <v>0</v>
      </c>
      <c r="AL5" s="3">
        <f>$AB$13</f>
        <v>0</v>
      </c>
      <c r="AM5" s="137" t="str">
        <f>'10 Spieler'!$I$13</f>
        <v> </v>
      </c>
      <c r="AN5" s="3" t="str">
        <f>'10 Spieler'!$Q$14</f>
        <v> </v>
      </c>
      <c r="AO5" s="3" t="str">
        <f>'10 Spieler'!$Y$15</f>
        <v> </v>
      </c>
      <c r="AP5" s="3" t="str">
        <f>'10 Spieler'!$I$25</f>
        <v> </v>
      </c>
      <c r="AQ5" s="3" t="str">
        <f>'10 Spieler'!$O$25</f>
        <v> </v>
      </c>
      <c r="AR5" s="3" t="str">
        <f>'10 Spieler'!$W$24</f>
        <v> </v>
      </c>
      <c r="AS5" s="3" t="str">
        <f>'10 Spieler'!$G$32</f>
        <v> </v>
      </c>
      <c r="AT5" s="3" t="str">
        <f>'10 Spieler'!$O$31</f>
        <v> </v>
      </c>
      <c r="AU5" s="3" t="str">
        <f>'10 Spieler'!$W$30</f>
        <v> </v>
      </c>
      <c r="AV5" s="137" t="str">
        <f aca="true" t="shared" si="17" ref="AV5:AV13">IF(AD5=0," ",AM5)</f>
        <v> </v>
      </c>
      <c r="AW5" s="3" t="str">
        <f t="shared" si="0"/>
        <v> </v>
      </c>
      <c r="AX5" s="3" t="str">
        <f t="shared" si="1"/>
        <v> </v>
      </c>
      <c r="AY5" s="3" t="str">
        <f t="shared" si="2"/>
        <v> </v>
      </c>
      <c r="AZ5" s="3" t="str">
        <f t="shared" si="3"/>
        <v> </v>
      </c>
      <c r="BA5" s="3" t="str">
        <f t="shared" si="4"/>
        <v> </v>
      </c>
      <c r="BB5" s="3" t="str">
        <f t="shared" si="5"/>
        <v> </v>
      </c>
      <c r="BC5" s="3" t="str">
        <f t="shared" si="6"/>
        <v> </v>
      </c>
      <c r="BD5" s="3" t="str">
        <f t="shared" si="7"/>
        <v> </v>
      </c>
      <c r="BE5" s="142">
        <f aca="true" t="shared" si="18" ref="BE5:BE13">IF(AV5=" ",0,ROUND(1/(1+(POWER(10,(-1*($AB5-AD5)/400)))),3))</f>
        <v>0</v>
      </c>
      <c r="BF5" s="143">
        <f t="shared" si="8"/>
        <v>0</v>
      </c>
      <c r="BG5" s="143">
        <f t="shared" si="9"/>
        <v>0</v>
      </c>
      <c r="BH5" s="143">
        <f t="shared" si="10"/>
        <v>0</v>
      </c>
      <c r="BI5" s="143">
        <f t="shared" si="11"/>
        <v>0</v>
      </c>
      <c r="BJ5" s="143">
        <f t="shared" si="12"/>
        <v>0</v>
      </c>
      <c r="BK5" s="143">
        <f t="shared" si="13"/>
        <v>0</v>
      </c>
      <c r="BL5" s="143">
        <f t="shared" si="14"/>
        <v>0</v>
      </c>
      <c r="BM5" s="143">
        <f t="shared" si="15"/>
        <v>0</v>
      </c>
      <c r="BN5" s="150">
        <f aca="true" t="shared" si="19" ref="BN5:BN13">SUM(BE5:BM5)</f>
        <v>0</v>
      </c>
      <c r="BO5" s="1">
        <f aca="true" t="shared" si="20" ref="BO5:BO13">1*((COUNTIF(AV5:BD5,0))+(COUNTIF(AV5:BD5,0.5))+(COUNTIF(AV5:BD5,1)))</f>
        <v>0</v>
      </c>
      <c r="BP5" s="146">
        <f aca="true" t="shared" si="21" ref="BP5:BP13">POWER((AB5/1000),4)+AC5</f>
        <v>15</v>
      </c>
      <c r="BQ5" s="146">
        <f aca="true" t="shared" si="22" ref="BQ5:BQ11">IF(AI5=5,IF(BT5&gt;=BN5,AH5/2000,1),1)</f>
        <v>1</v>
      </c>
      <c r="BR5" s="146">
        <f aca="true" t="shared" si="23" ref="BR5:BR11">IF(BT5&gt;=BN5,0,IF((IF(AI5=5,IF(AH5&lt;1300,(POWER(2.71828,(1300-AH5)/150))-1,0),0))&gt;150,150,IF(AI5=5,IF(AH5&lt;1300,(POWER(2.71828,(1300-AH5)/150))-1,0),0)))</f>
        <v>0</v>
      </c>
      <c r="BS5" s="146">
        <f aca="true" t="shared" si="24" ref="BS5:BS13">IF(BR5&gt;0,IF((ROUND((BP5*BQ5)+BR5,0))&lt;5,5,(ROUND((BP5*BQ5)+BR5,0))),IF(IF((ROUND((BP5*BQ5)+BR5,0))&lt;5,5,(ROUND((BP5*BQ5)+BR5,0)))&gt;30,30,IF((ROUND((BP5*BQ5)+BR5,0))&lt;5,5,(ROUND((BP5*BQ5)+BR5,0)))))</f>
        <v>15</v>
      </c>
      <c r="BT5" s="1">
        <f aca="true" t="shared" si="25" ref="BT5:BT13">SUM(AV5:BD5)</f>
        <v>0</v>
      </c>
      <c r="BU5" s="1">
        <f aca="true" t="shared" si="26" ref="BU5:BU12">IF(AB5=0,0,IF(BO5=0,AB5,ROUND(AB5+800*(BT5-BN5)/(BS5+BO5),0)))</f>
        <v>0</v>
      </c>
      <c r="BV5" s="138"/>
    </row>
    <row r="6" spans="2:74" ht="19.5" customHeight="1">
      <c r="B6" s="41">
        <f>IF(AND(D5=D6,E5=E6,F5=F6),"","2.")</f>
      </c>
      <c r="C6" s="42" t="str">
        <f aca="true" t="shared" si="27" ref="C6:C14">VLOOKUP(T6,$I$5:$M$14,2,FALSE)</f>
        <v>Spieler 2</v>
      </c>
      <c r="D6" s="43">
        <f aca="true" t="shared" si="28" ref="D6:D14">VLOOKUP($T6,$I$5:$M$14,3,FALSE)</f>
        <v>0</v>
      </c>
      <c r="E6" s="57">
        <f aca="true" t="shared" si="29" ref="E6:E14">VLOOKUP($T6,$I$5:$M$14,4,FALSE)</f>
      </c>
      <c r="F6" s="62" t="str">
        <f aca="true" t="shared" si="30" ref="F6:F14">VLOOKUP($T6,$I$5:$M$14,5,FALSE)</f>
        <v> </v>
      </c>
      <c r="I6" s="41">
        <f aca="true" t="shared" si="31" ref="I6:I14">RANK(N6,$N$5:$N$14,0)</f>
        <v>2</v>
      </c>
      <c r="J6" s="42" t="str">
        <f>Eingabe!C7</f>
        <v>Spieler 2</v>
      </c>
      <c r="K6" s="43">
        <f>IF(COUNT('Kreuztabelle 10'!D22:'Kreuztabelle 10'!M22)&gt;0,COUNT('Kreuztabelle 10'!D22:'Kreuztabelle 10'!M22),0)</f>
        <v>0</v>
      </c>
      <c r="L6" s="57">
        <f>'Kreuztabelle 10'!O22</f>
      </c>
      <c r="M6" s="62" t="str">
        <f>'Kreuztabelle 10'!N22</f>
        <v> </v>
      </c>
      <c r="N6">
        <f>IF(M6=" ",0.09,M6*100000+L6*1000-K6+0.09)</f>
        <v>0.09</v>
      </c>
      <c r="O6" s="64">
        <f aca="true" t="shared" si="32" ref="O6:O14">COUNTIF($P$5:$P$14,P6)</f>
        <v>10</v>
      </c>
      <c r="P6" s="64" t="e">
        <f>IF(AND(D5=D6,E5=E6,F5=F6),P5,2)</f>
        <v>#VALUE!</v>
      </c>
      <c r="Q6" s="65" t="e">
        <f aca="true" t="shared" si="33" ref="Q6:Q14">IF(O6=1,P6&amp;".",P6&amp;".- "&amp;(P6+O6-1)&amp;".")</f>
        <v>#VALUE!</v>
      </c>
      <c r="R6" s="65" t="str">
        <f t="shared" si="16"/>
        <v> </v>
      </c>
      <c r="T6" s="1">
        <v>2</v>
      </c>
      <c r="AA6" t="str">
        <f>Eingabe!C8</f>
        <v>Spieler 3</v>
      </c>
      <c r="AB6" s="1">
        <f>IF(Eingabe!E8=" ",0,Eingabe!E8)</f>
        <v>0</v>
      </c>
      <c r="AC6" s="1">
        <f>IF(Eingabe!D8=5,5,IF(Eingabe!D8=10,10,15))</f>
        <v>15</v>
      </c>
      <c r="AD6" s="137">
        <f>$AB$11</f>
        <v>0</v>
      </c>
      <c r="AE6" s="3">
        <f>$AB$9</f>
        <v>0</v>
      </c>
      <c r="AF6" s="3">
        <f>$AB$7</f>
        <v>0</v>
      </c>
      <c r="AG6" s="3">
        <f>$AB$5</f>
        <v>0</v>
      </c>
      <c r="AH6" s="3">
        <f>$AB$12</f>
        <v>0</v>
      </c>
      <c r="AI6" s="3">
        <f>$AB$10</f>
        <v>0</v>
      </c>
      <c r="AJ6" s="3">
        <f>$AB$8</f>
        <v>0</v>
      </c>
      <c r="AK6" s="3">
        <f>$AB$13</f>
        <v>0</v>
      </c>
      <c r="AL6" s="3">
        <f>$AB$4</f>
        <v>0</v>
      </c>
      <c r="AM6" s="137" t="str">
        <f>'10 Spieler'!$I$14</f>
        <v> </v>
      </c>
      <c r="AN6" s="3" t="str">
        <f>'10 Spieler'!$Q$15</f>
        <v> </v>
      </c>
      <c r="AO6" s="3" t="str">
        <f>'10 Spieler'!$Y$16</f>
        <v> </v>
      </c>
      <c r="AP6" s="3" t="str">
        <f>'10 Spieler'!$G$25</f>
        <v> </v>
      </c>
      <c r="AQ6" s="3" t="str">
        <f>'10 Spieler'!$O$24</f>
        <v> </v>
      </c>
      <c r="AR6" s="3" t="str">
        <f>'10 Spieler'!$W$23</f>
        <v> </v>
      </c>
      <c r="AS6" s="3" t="str">
        <f>'10 Spieler'!$G$31</f>
        <v> </v>
      </c>
      <c r="AT6" s="3" t="str">
        <f>'10 Spieler'!$O$30</f>
        <v> </v>
      </c>
      <c r="AU6" s="3" t="str">
        <f>'10 Spieler'!$Y$31</f>
        <v> </v>
      </c>
      <c r="AV6" s="137" t="str">
        <f t="shared" si="17"/>
        <v> </v>
      </c>
      <c r="AW6" s="3" t="str">
        <f t="shared" si="0"/>
        <v> </v>
      </c>
      <c r="AX6" s="3" t="str">
        <f t="shared" si="1"/>
        <v> </v>
      </c>
      <c r="AY6" s="3" t="str">
        <f t="shared" si="2"/>
        <v> </v>
      </c>
      <c r="AZ6" s="3" t="str">
        <f t="shared" si="3"/>
        <v> </v>
      </c>
      <c r="BA6" s="3" t="str">
        <f t="shared" si="4"/>
        <v> </v>
      </c>
      <c r="BB6" s="3" t="str">
        <f t="shared" si="5"/>
        <v> </v>
      </c>
      <c r="BC6" s="3" t="str">
        <f t="shared" si="6"/>
        <v> </v>
      </c>
      <c r="BD6" s="3" t="str">
        <f t="shared" si="7"/>
        <v> </v>
      </c>
      <c r="BE6" s="142">
        <f t="shared" si="18"/>
        <v>0</v>
      </c>
      <c r="BF6" s="143">
        <f t="shared" si="8"/>
        <v>0</v>
      </c>
      <c r="BG6" s="143">
        <f t="shared" si="9"/>
        <v>0</v>
      </c>
      <c r="BH6" s="143">
        <f t="shared" si="10"/>
        <v>0</v>
      </c>
      <c r="BI6" s="143">
        <f t="shared" si="11"/>
        <v>0</v>
      </c>
      <c r="BJ6" s="143">
        <f t="shared" si="12"/>
        <v>0</v>
      </c>
      <c r="BK6" s="143">
        <f t="shared" si="13"/>
        <v>0</v>
      </c>
      <c r="BL6" s="143">
        <f t="shared" si="14"/>
        <v>0</v>
      </c>
      <c r="BM6" s="143">
        <f t="shared" si="15"/>
        <v>0</v>
      </c>
      <c r="BN6" s="150">
        <f t="shared" si="19"/>
        <v>0</v>
      </c>
      <c r="BO6" s="1">
        <f t="shared" si="20"/>
        <v>0</v>
      </c>
      <c r="BP6" s="146">
        <f t="shared" si="21"/>
        <v>15</v>
      </c>
      <c r="BQ6" s="146">
        <f t="shared" si="22"/>
        <v>1</v>
      </c>
      <c r="BR6" s="146">
        <f t="shared" si="23"/>
        <v>0</v>
      </c>
      <c r="BS6" s="146">
        <f t="shared" si="24"/>
        <v>15</v>
      </c>
      <c r="BT6" s="1">
        <f t="shared" si="25"/>
        <v>0</v>
      </c>
      <c r="BU6" s="1">
        <f t="shared" si="26"/>
        <v>0</v>
      </c>
      <c r="BV6" s="138"/>
    </row>
    <row r="7" spans="2:74" ht="19.5" customHeight="1">
      <c r="B7" s="41">
        <f>IF(AND(D6=D7,E6=E7,F6=F7),"","3.")</f>
      </c>
      <c r="C7" s="47" t="str">
        <f t="shared" si="27"/>
        <v>Spieler 3</v>
      </c>
      <c r="D7" s="43">
        <f t="shared" si="28"/>
        <v>0</v>
      </c>
      <c r="E7" s="57">
        <f t="shared" si="29"/>
      </c>
      <c r="F7" s="62" t="str">
        <f t="shared" si="30"/>
        <v> </v>
      </c>
      <c r="I7" s="41">
        <f t="shared" si="31"/>
        <v>3</v>
      </c>
      <c r="J7" s="42" t="str">
        <f>Eingabe!C8</f>
        <v>Spieler 3</v>
      </c>
      <c r="K7" s="43">
        <f>IF(COUNT('Kreuztabelle 10'!D23:'Kreuztabelle 10'!M23)&gt;0,COUNT('Kreuztabelle 10'!D23:'Kreuztabelle 10'!M23),0)</f>
        <v>0</v>
      </c>
      <c r="L7" s="57">
        <f>'Kreuztabelle 10'!O23</f>
      </c>
      <c r="M7" s="62" t="str">
        <f>'Kreuztabelle 10'!N23</f>
        <v> </v>
      </c>
      <c r="N7">
        <f>IF(M7=" ",0.08,M7*100000+L7*1000-K7+0.08)</f>
        <v>0.08</v>
      </c>
      <c r="O7" s="64">
        <f t="shared" si="32"/>
        <v>10</v>
      </c>
      <c r="P7" s="64" t="e">
        <f>IF(AND(D6=D7,E6=E7,F6=F7),P6,3)</f>
        <v>#VALUE!</v>
      </c>
      <c r="Q7" s="65" t="e">
        <f t="shared" si="33"/>
        <v>#VALUE!</v>
      </c>
      <c r="R7" s="65" t="str">
        <f t="shared" si="16"/>
        <v> </v>
      </c>
      <c r="T7" s="1">
        <v>3</v>
      </c>
      <c r="AA7" t="str">
        <f>Eingabe!C9</f>
        <v>Spieler 4</v>
      </c>
      <c r="AB7" s="1">
        <f>IF(Eingabe!E9=" ",0,Eingabe!E9)</f>
        <v>0</v>
      </c>
      <c r="AC7" s="1">
        <f>IF(Eingabe!D9=5,5,IF(Eingabe!D9=10,10,15))</f>
        <v>15</v>
      </c>
      <c r="AD7" s="137">
        <f>$AB$10</f>
        <v>0</v>
      </c>
      <c r="AE7" s="3">
        <f>$AB$8</f>
        <v>0</v>
      </c>
      <c r="AF7" s="3">
        <f>$AB$6</f>
        <v>0</v>
      </c>
      <c r="AG7" s="3">
        <f>$AB$4</f>
        <v>0</v>
      </c>
      <c r="AH7" s="3">
        <f>$AB$11</f>
        <v>0</v>
      </c>
      <c r="AI7" s="3">
        <f>$AB$9</f>
        <v>0</v>
      </c>
      <c r="AJ7" s="3">
        <f>$AB$13</f>
        <v>0</v>
      </c>
      <c r="AK7" s="3">
        <f>$AB$5</f>
        <v>0</v>
      </c>
      <c r="AL7" s="3">
        <f>$AB$12</f>
        <v>0</v>
      </c>
      <c r="AM7" s="137" t="str">
        <f>'10 Spieler'!$I$15</f>
        <v> </v>
      </c>
      <c r="AN7" s="3" t="str">
        <f>'10 Spieler'!$Q$16</f>
        <v> </v>
      </c>
      <c r="AO7" s="3" t="str">
        <f>'10 Spieler'!$W$16</f>
        <v> </v>
      </c>
      <c r="AP7" s="3" t="str">
        <f>'10 Spieler'!$G$24</f>
        <v> </v>
      </c>
      <c r="AQ7" s="3" t="str">
        <f>'10 Spieler'!$O$23</f>
        <v> </v>
      </c>
      <c r="AR7" s="3" t="str">
        <f>'10 Spieler'!$W$22</f>
        <v> </v>
      </c>
      <c r="AS7" s="3" t="str">
        <f>'10 Spieler'!$G$30</f>
        <v> </v>
      </c>
      <c r="AT7" s="3" t="str">
        <f>'10 Spieler'!$Q$31</f>
        <v> </v>
      </c>
      <c r="AU7" s="3" t="str">
        <f>'10 Spieler'!$Y$32</f>
        <v> </v>
      </c>
      <c r="AV7" s="137" t="str">
        <f t="shared" si="17"/>
        <v> </v>
      </c>
      <c r="AW7" s="3" t="str">
        <f t="shared" si="0"/>
        <v> </v>
      </c>
      <c r="AX7" s="3" t="str">
        <f t="shared" si="1"/>
        <v> </v>
      </c>
      <c r="AY7" s="3" t="str">
        <f t="shared" si="2"/>
        <v> </v>
      </c>
      <c r="AZ7" s="3" t="str">
        <f t="shared" si="3"/>
        <v> </v>
      </c>
      <c r="BA7" s="3" t="str">
        <f t="shared" si="4"/>
        <v> </v>
      </c>
      <c r="BB7" s="3" t="str">
        <f t="shared" si="5"/>
        <v> </v>
      </c>
      <c r="BC7" s="3" t="str">
        <f t="shared" si="6"/>
        <v> </v>
      </c>
      <c r="BD7" s="3" t="str">
        <f t="shared" si="7"/>
        <v> </v>
      </c>
      <c r="BE7" s="142">
        <f t="shared" si="18"/>
        <v>0</v>
      </c>
      <c r="BF7" s="143">
        <f t="shared" si="8"/>
        <v>0</v>
      </c>
      <c r="BG7" s="143">
        <f t="shared" si="9"/>
        <v>0</v>
      </c>
      <c r="BH7" s="143">
        <f t="shared" si="10"/>
        <v>0</v>
      </c>
      <c r="BI7" s="143">
        <f t="shared" si="11"/>
        <v>0</v>
      </c>
      <c r="BJ7" s="143">
        <f t="shared" si="12"/>
        <v>0</v>
      </c>
      <c r="BK7" s="143">
        <f t="shared" si="13"/>
        <v>0</v>
      </c>
      <c r="BL7" s="143">
        <f t="shared" si="14"/>
        <v>0</v>
      </c>
      <c r="BM7" s="143">
        <f t="shared" si="15"/>
        <v>0</v>
      </c>
      <c r="BN7" s="150">
        <f t="shared" si="19"/>
        <v>0</v>
      </c>
      <c r="BO7" s="1">
        <f t="shared" si="20"/>
        <v>0</v>
      </c>
      <c r="BP7" s="146">
        <f t="shared" si="21"/>
        <v>15</v>
      </c>
      <c r="BQ7" s="146">
        <f t="shared" si="22"/>
        <v>1</v>
      </c>
      <c r="BR7" s="146">
        <f t="shared" si="23"/>
        <v>0</v>
      </c>
      <c r="BS7" s="146">
        <f t="shared" si="24"/>
        <v>15</v>
      </c>
      <c r="BT7" s="1">
        <f t="shared" si="25"/>
        <v>0</v>
      </c>
      <c r="BU7" s="1">
        <f t="shared" si="26"/>
        <v>0</v>
      </c>
      <c r="BV7" s="138"/>
    </row>
    <row r="8" spans="2:74" ht="19.5" customHeight="1">
      <c r="B8" s="41">
        <f>IF(AND(D7=D8,E7=E8,F7=F8),"","4.")</f>
      </c>
      <c r="C8" s="42" t="str">
        <f t="shared" si="27"/>
        <v>Spieler 4</v>
      </c>
      <c r="D8" s="43">
        <f t="shared" si="28"/>
        <v>0</v>
      </c>
      <c r="E8" s="57">
        <f t="shared" si="29"/>
      </c>
      <c r="F8" s="62" t="str">
        <f t="shared" si="30"/>
        <v> </v>
      </c>
      <c r="I8" s="41">
        <f t="shared" si="31"/>
        <v>4</v>
      </c>
      <c r="J8" s="42" t="str">
        <f>Eingabe!C9</f>
        <v>Spieler 4</v>
      </c>
      <c r="K8" s="43">
        <f>IF(COUNT('Kreuztabelle 10'!D24:'Kreuztabelle 10'!M24)&gt;0,COUNT('Kreuztabelle 10'!D24:'Kreuztabelle 10'!M24),0)</f>
        <v>0</v>
      </c>
      <c r="L8" s="57">
        <f>'Kreuztabelle 10'!O24</f>
      </c>
      <c r="M8" s="62" t="str">
        <f>'Kreuztabelle 10'!N24</f>
        <v> </v>
      </c>
      <c r="N8">
        <f>IF(M8=" ",0.07,M8*100000+L8*1000-K8+0.07)</f>
        <v>0.07</v>
      </c>
      <c r="O8" s="64">
        <f t="shared" si="32"/>
        <v>10</v>
      </c>
      <c r="P8" s="64" t="e">
        <f>IF(AND(D7=D8,E7=E8,F7=F8),P7,4)</f>
        <v>#VALUE!</v>
      </c>
      <c r="Q8" s="65" t="e">
        <f t="shared" si="33"/>
        <v>#VALUE!</v>
      </c>
      <c r="R8" s="65" t="str">
        <f t="shared" si="16"/>
        <v> </v>
      </c>
      <c r="T8" s="1">
        <v>4</v>
      </c>
      <c r="AA8" t="str">
        <f>Eingabe!C10</f>
        <v>Spieler 5</v>
      </c>
      <c r="AB8" s="1">
        <f>IF(Eingabe!E10=" ",0,Eingabe!E10)</f>
        <v>0</v>
      </c>
      <c r="AC8" s="1">
        <f>IF(Eingabe!D10=5,5,IF(Eingabe!D10=10,10,15))</f>
        <v>15</v>
      </c>
      <c r="AD8" s="137">
        <f>$AB$9</f>
        <v>0</v>
      </c>
      <c r="AE8" s="3">
        <f>$AB$7</f>
        <v>0</v>
      </c>
      <c r="AF8" s="3">
        <f>$AB$5</f>
        <v>0</v>
      </c>
      <c r="AG8" s="3">
        <f>$AB$12</f>
        <v>0</v>
      </c>
      <c r="AH8" s="3">
        <f>$AB$10</f>
        <v>0</v>
      </c>
      <c r="AI8" s="3">
        <f>$AB$13</f>
        <v>0</v>
      </c>
      <c r="AJ8" s="3">
        <f>$AB$6</f>
        <v>0</v>
      </c>
      <c r="AK8" s="3">
        <f>$AB$4</f>
        <v>0</v>
      </c>
      <c r="AL8" s="3">
        <f>$AB$11</f>
        <v>0</v>
      </c>
      <c r="AM8" s="137" t="str">
        <f>'10 Spieler'!$I$16</f>
        <v> </v>
      </c>
      <c r="AN8" s="3" t="str">
        <f>'10 Spieler'!$O$16</f>
        <v> </v>
      </c>
      <c r="AO8" s="3" t="str">
        <f>'10 Spieler'!$W$15</f>
        <v> </v>
      </c>
      <c r="AP8" s="3" t="str">
        <f>'10 Spieler'!$G$23</f>
        <v> </v>
      </c>
      <c r="AQ8" s="3" t="str">
        <f>'10 Spieler'!$O$22</f>
        <v> </v>
      </c>
      <c r="AR8" s="3" t="str">
        <f>'10 Spieler'!$W$21</f>
        <v> </v>
      </c>
      <c r="AS8" s="3" t="str">
        <f>'10 Spieler'!$I$31</f>
        <v> </v>
      </c>
      <c r="AT8" s="3" t="str">
        <f>'10 Spieler'!$Q$32</f>
        <v> </v>
      </c>
      <c r="AU8" s="3" t="str">
        <f>'10 Spieler'!$Y$33</f>
        <v> </v>
      </c>
      <c r="AV8" s="137" t="str">
        <f t="shared" si="17"/>
        <v> </v>
      </c>
      <c r="AW8" s="3" t="str">
        <f t="shared" si="0"/>
        <v> </v>
      </c>
      <c r="AX8" s="3" t="str">
        <f t="shared" si="1"/>
        <v> </v>
      </c>
      <c r="AY8" s="3" t="str">
        <f t="shared" si="2"/>
        <v> </v>
      </c>
      <c r="AZ8" s="3" t="str">
        <f t="shared" si="3"/>
        <v> </v>
      </c>
      <c r="BA8" s="3" t="str">
        <f t="shared" si="4"/>
        <v> </v>
      </c>
      <c r="BB8" s="3" t="str">
        <f t="shared" si="5"/>
        <v> </v>
      </c>
      <c r="BC8" s="3" t="str">
        <f t="shared" si="6"/>
        <v> </v>
      </c>
      <c r="BD8" s="3" t="str">
        <f t="shared" si="7"/>
        <v> </v>
      </c>
      <c r="BE8" s="142">
        <f t="shared" si="18"/>
        <v>0</v>
      </c>
      <c r="BF8" s="143">
        <f t="shared" si="8"/>
        <v>0</v>
      </c>
      <c r="BG8" s="143">
        <f t="shared" si="9"/>
        <v>0</v>
      </c>
      <c r="BH8" s="143">
        <f t="shared" si="10"/>
        <v>0</v>
      </c>
      <c r="BI8" s="143">
        <f t="shared" si="11"/>
        <v>0</v>
      </c>
      <c r="BJ8" s="143">
        <f t="shared" si="12"/>
        <v>0</v>
      </c>
      <c r="BK8" s="143">
        <f t="shared" si="13"/>
        <v>0</v>
      </c>
      <c r="BL8" s="143">
        <f t="shared" si="14"/>
        <v>0</v>
      </c>
      <c r="BM8" s="143">
        <f t="shared" si="15"/>
        <v>0</v>
      </c>
      <c r="BN8" s="150">
        <f t="shared" si="19"/>
        <v>0</v>
      </c>
      <c r="BO8" s="1">
        <f t="shared" si="20"/>
        <v>0</v>
      </c>
      <c r="BP8" s="146">
        <f t="shared" si="21"/>
        <v>15</v>
      </c>
      <c r="BQ8" s="146">
        <f t="shared" si="22"/>
        <v>1</v>
      </c>
      <c r="BR8" s="146">
        <f t="shared" si="23"/>
        <v>0</v>
      </c>
      <c r="BS8" s="146">
        <f t="shared" si="24"/>
        <v>15</v>
      </c>
      <c r="BT8" s="1">
        <f t="shared" si="25"/>
        <v>0</v>
      </c>
      <c r="BU8" s="1">
        <f t="shared" si="26"/>
        <v>0</v>
      </c>
      <c r="BV8" s="138"/>
    </row>
    <row r="9" spans="2:74" ht="19.5" customHeight="1">
      <c r="B9" s="41">
        <f>IF(AND(D8=D9,E8=E9,F8=F9),"","5.")</f>
      </c>
      <c r="C9" s="42" t="str">
        <f t="shared" si="27"/>
        <v>Spieler 5</v>
      </c>
      <c r="D9" s="43">
        <f t="shared" si="28"/>
        <v>0</v>
      </c>
      <c r="E9" s="57">
        <f t="shared" si="29"/>
      </c>
      <c r="F9" s="62" t="str">
        <f t="shared" si="30"/>
        <v> </v>
      </c>
      <c r="I9" s="41">
        <f t="shared" si="31"/>
        <v>5</v>
      </c>
      <c r="J9" s="42" t="str">
        <f>Eingabe!C10</f>
        <v>Spieler 5</v>
      </c>
      <c r="K9" s="43">
        <f>IF(COUNT('Kreuztabelle 10'!D25:'Kreuztabelle 10'!M25)&gt;0,COUNT('Kreuztabelle 10'!D25:'Kreuztabelle 10'!M25),0)</f>
        <v>0</v>
      </c>
      <c r="L9" s="57">
        <f>'Kreuztabelle 10'!O25</f>
      </c>
      <c r="M9" s="62" t="str">
        <f>'Kreuztabelle 10'!N25</f>
        <v> </v>
      </c>
      <c r="N9">
        <f>IF(M9=" ",0.06,M9*100000+L9*1000-K9+0.06)</f>
        <v>0.06</v>
      </c>
      <c r="O9" s="64">
        <f t="shared" si="32"/>
        <v>10</v>
      </c>
      <c r="P9" s="64" t="e">
        <f>IF(AND(D8=D9,E8=E9,F8=F9),P8,5)</f>
        <v>#VALUE!</v>
      </c>
      <c r="Q9" s="65" t="e">
        <f t="shared" si="33"/>
        <v>#VALUE!</v>
      </c>
      <c r="R9" s="65" t="str">
        <f t="shared" si="16"/>
        <v> </v>
      </c>
      <c r="T9" s="1">
        <v>5</v>
      </c>
      <c r="AA9" t="str">
        <f>Eingabe!C11</f>
        <v>Spieler 6</v>
      </c>
      <c r="AB9" s="1">
        <f>IF(Eingabe!E11=" ",0,Eingabe!E11)</f>
        <v>0</v>
      </c>
      <c r="AC9" s="1">
        <f>IF(Eingabe!D11=5,5,IF(Eingabe!D11=10,10,15))</f>
        <v>15</v>
      </c>
      <c r="AD9" s="137">
        <f>$AB$8</f>
        <v>0</v>
      </c>
      <c r="AE9" s="3">
        <f>$AB$6</f>
        <v>0</v>
      </c>
      <c r="AF9" s="3">
        <f>$AB$4</f>
        <v>0</v>
      </c>
      <c r="AG9" s="3">
        <f>$AB$11</f>
        <v>0</v>
      </c>
      <c r="AH9" s="3">
        <f>$AB$13</f>
        <v>0</v>
      </c>
      <c r="AI9" s="3">
        <f>$AB$7</f>
        <v>0</v>
      </c>
      <c r="AJ9" s="3">
        <f>$AB$5</f>
        <v>0</v>
      </c>
      <c r="AK9" s="3">
        <f>$AB$12</f>
        <v>0</v>
      </c>
      <c r="AL9" s="3">
        <f>$AB$10</f>
        <v>0</v>
      </c>
      <c r="AM9" s="137" t="str">
        <f>'10 Spieler'!$G$16</f>
        <v> </v>
      </c>
      <c r="AN9" s="3" t="str">
        <f>'10 Spieler'!$O$15</f>
        <v> </v>
      </c>
      <c r="AO9" s="3" t="str">
        <f>'10 Spieler'!$W$14</f>
        <v> </v>
      </c>
      <c r="AP9" s="3" t="str">
        <f>'10 Spieler'!$G$22</f>
        <v> </v>
      </c>
      <c r="AQ9" s="3" t="str">
        <f>'10 Spieler'!$O$21</f>
        <v> </v>
      </c>
      <c r="AR9" s="3" t="str">
        <f>'10 Spieler'!$Y$22</f>
        <v> </v>
      </c>
      <c r="AS9" s="3" t="str">
        <f>'10 Spieler'!$I$32</f>
        <v> </v>
      </c>
      <c r="AT9" s="3" t="str">
        <f>'10 Spieler'!$Q$33</f>
        <v> </v>
      </c>
      <c r="AU9" s="3" t="str">
        <f>'10 Spieler'!$Y$34</f>
        <v> </v>
      </c>
      <c r="AV9" s="137" t="str">
        <f t="shared" si="17"/>
        <v> </v>
      </c>
      <c r="AW9" s="3" t="str">
        <f t="shared" si="0"/>
        <v> </v>
      </c>
      <c r="AX9" s="3" t="str">
        <f t="shared" si="1"/>
        <v> </v>
      </c>
      <c r="AY9" s="3" t="str">
        <f t="shared" si="2"/>
        <v> </v>
      </c>
      <c r="AZ9" s="3" t="str">
        <f t="shared" si="3"/>
        <v> </v>
      </c>
      <c r="BA9" s="3" t="str">
        <f t="shared" si="4"/>
        <v> </v>
      </c>
      <c r="BB9" s="3" t="str">
        <f t="shared" si="5"/>
        <v> </v>
      </c>
      <c r="BC9" s="3" t="str">
        <f t="shared" si="6"/>
        <v> </v>
      </c>
      <c r="BD9" s="3" t="str">
        <f t="shared" si="7"/>
        <v> </v>
      </c>
      <c r="BE9" s="142">
        <f t="shared" si="18"/>
        <v>0</v>
      </c>
      <c r="BF9" s="143">
        <f t="shared" si="8"/>
        <v>0</v>
      </c>
      <c r="BG9" s="143">
        <f t="shared" si="9"/>
        <v>0</v>
      </c>
      <c r="BH9" s="143">
        <f t="shared" si="10"/>
        <v>0</v>
      </c>
      <c r="BI9" s="143">
        <f t="shared" si="11"/>
        <v>0</v>
      </c>
      <c r="BJ9" s="143">
        <f t="shared" si="12"/>
        <v>0</v>
      </c>
      <c r="BK9" s="143">
        <f t="shared" si="13"/>
        <v>0</v>
      </c>
      <c r="BL9" s="143">
        <f t="shared" si="14"/>
        <v>0</v>
      </c>
      <c r="BM9" s="143">
        <f t="shared" si="15"/>
        <v>0</v>
      </c>
      <c r="BN9" s="150">
        <f t="shared" si="19"/>
        <v>0</v>
      </c>
      <c r="BO9" s="1">
        <f t="shared" si="20"/>
        <v>0</v>
      </c>
      <c r="BP9" s="146">
        <f t="shared" si="21"/>
        <v>15</v>
      </c>
      <c r="BQ9" s="146">
        <f t="shared" si="22"/>
        <v>1</v>
      </c>
      <c r="BR9" s="146">
        <f t="shared" si="23"/>
        <v>0</v>
      </c>
      <c r="BS9" s="146">
        <f t="shared" si="24"/>
        <v>15</v>
      </c>
      <c r="BT9" s="1">
        <f t="shared" si="25"/>
        <v>0</v>
      </c>
      <c r="BU9" s="1">
        <f t="shared" si="26"/>
        <v>0</v>
      </c>
      <c r="BV9" s="138"/>
    </row>
    <row r="10" spans="2:74" ht="19.5" customHeight="1">
      <c r="B10" s="41">
        <f>IF(AND(D9=D10,E9=E10,F9=F10),"","6.")</f>
      </c>
      <c r="C10" s="42" t="str">
        <f t="shared" si="27"/>
        <v>Spieler 6</v>
      </c>
      <c r="D10" s="43">
        <f t="shared" si="28"/>
        <v>0</v>
      </c>
      <c r="E10" s="57">
        <f t="shared" si="29"/>
      </c>
      <c r="F10" s="62" t="str">
        <f t="shared" si="30"/>
        <v> </v>
      </c>
      <c r="I10" s="41">
        <f t="shared" si="31"/>
        <v>6</v>
      </c>
      <c r="J10" s="42" t="str">
        <f>Eingabe!C11</f>
        <v>Spieler 6</v>
      </c>
      <c r="K10" s="43">
        <f>IF(COUNT('Kreuztabelle 10'!D26:'Kreuztabelle 10'!M26)&gt;0,COUNT('Kreuztabelle 10'!D26:'Kreuztabelle 10'!M26),0)</f>
        <v>0</v>
      </c>
      <c r="L10" s="57">
        <f>'Kreuztabelle 10'!O26</f>
      </c>
      <c r="M10" s="62" t="str">
        <f>'Kreuztabelle 10'!N26</f>
        <v> </v>
      </c>
      <c r="N10">
        <f>IF(M10=" ",0.05,M10*100000+L10*1000-K10+0.05)</f>
        <v>0.05</v>
      </c>
      <c r="O10" s="64">
        <f t="shared" si="32"/>
        <v>10</v>
      </c>
      <c r="P10" s="64" t="e">
        <f>IF(AND(D9=D10,E9=E10,F9=F10),P9,6)</f>
        <v>#VALUE!</v>
      </c>
      <c r="Q10" s="65" t="e">
        <f t="shared" si="33"/>
        <v>#VALUE!</v>
      </c>
      <c r="R10" s="65" t="str">
        <f t="shared" si="16"/>
        <v> </v>
      </c>
      <c r="T10" s="1">
        <v>6</v>
      </c>
      <c r="AA10" t="str">
        <f>Eingabe!C12</f>
        <v>Spieler 7</v>
      </c>
      <c r="AB10" s="1">
        <f>IF(Eingabe!E12=" ",0,Eingabe!E12)</f>
        <v>0</v>
      </c>
      <c r="AC10" s="1">
        <f>IF(Eingabe!D12=5,5,IF(Eingabe!D12=10,10,15))</f>
        <v>15</v>
      </c>
      <c r="AD10" s="137">
        <f>$AB$7</f>
        <v>0</v>
      </c>
      <c r="AE10" s="3">
        <f>$AB$5</f>
        <v>0</v>
      </c>
      <c r="AF10" s="3">
        <f>$AB$12</f>
        <v>0</v>
      </c>
      <c r="AG10" s="3">
        <f>$AB$13</f>
        <v>0</v>
      </c>
      <c r="AH10" s="3">
        <f>$AB$8</f>
        <v>0</v>
      </c>
      <c r="AI10" s="3">
        <f>$AB$6</f>
        <v>0</v>
      </c>
      <c r="AJ10" s="3">
        <f>$AB$4</f>
        <v>0</v>
      </c>
      <c r="AK10" s="3">
        <f>$AB$11</f>
        <v>0</v>
      </c>
      <c r="AL10" s="3">
        <f>$AB$9</f>
        <v>0</v>
      </c>
      <c r="AM10" s="137" t="str">
        <f>'10 Spieler'!$G$15</f>
        <v> </v>
      </c>
      <c r="AN10" s="3" t="str">
        <f>'10 Spieler'!$O$14</f>
        <v> </v>
      </c>
      <c r="AO10" s="3" t="str">
        <f>'10 Spieler'!$W$13</f>
        <v> </v>
      </c>
      <c r="AP10" s="3" t="str">
        <f>'10 Spieler'!$G$21</f>
        <v> </v>
      </c>
      <c r="AQ10" s="3" t="str">
        <f>'10 Spieler'!$Q$22</f>
        <v> </v>
      </c>
      <c r="AR10" s="3" t="str">
        <f>'10 Spieler'!$Y$23</f>
        <v> </v>
      </c>
      <c r="AS10" s="3" t="str">
        <f>'10 Spieler'!$I$33</f>
        <v> </v>
      </c>
      <c r="AT10" s="3" t="str">
        <f>'10 Spieler'!$Q$34</f>
        <v> </v>
      </c>
      <c r="AU10" s="3" t="str">
        <f>'10 Spieler'!$W$34</f>
        <v> </v>
      </c>
      <c r="AV10" s="137" t="str">
        <f t="shared" si="17"/>
        <v> </v>
      </c>
      <c r="AW10" s="3" t="str">
        <f t="shared" si="0"/>
        <v> </v>
      </c>
      <c r="AX10" s="3" t="str">
        <f t="shared" si="1"/>
        <v> </v>
      </c>
      <c r="AY10" s="3" t="str">
        <f t="shared" si="2"/>
        <v> </v>
      </c>
      <c r="AZ10" s="3" t="str">
        <f t="shared" si="3"/>
        <v> </v>
      </c>
      <c r="BA10" s="3" t="str">
        <f t="shared" si="4"/>
        <v> </v>
      </c>
      <c r="BB10" s="3" t="str">
        <f t="shared" si="5"/>
        <v> </v>
      </c>
      <c r="BC10" s="3" t="str">
        <f t="shared" si="6"/>
        <v> </v>
      </c>
      <c r="BD10" s="3" t="str">
        <f t="shared" si="7"/>
        <v> </v>
      </c>
      <c r="BE10" s="142">
        <f t="shared" si="18"/>
        <v>0</v>
      </c>
      <c r="BF10" s="143">
        <f t="shared" si="8"/>
        <v>0</v>
      </c>
      <c r="BG10" s="143">
        <f t="shared" si="9"/>
        <v>0</v>
      </c>
      <c r="BH10" s="143">
        <f t="shared" si="10"/>
        <v>0</v>
      </c>
      <c r="BI10" s="143">
        <f t="shared" si="11"/>
        <v>0</v>
      </c>
      <c r="BJ10" s="143">
        <f t="shared" si="12"/>
        <v>0</v>
      </c>
      <c r="BK10" s="143">
        <f t="shared" si="13"/>
        <v>0</v>
      </c>
      <c r="BL10" s="143">
        <f t="shared" si="14"/>
        <v>0</v>
      </c>
      <c r="BM10" s="143">
        <f t="shared" si="15"/>
        <v>0</v>
      </c>
      <c r="BN10" s="150">
        <f t="shared" si="19"/>
        <v>0</v>
      </c>
      <c r="BO10" s="1">
        <f t="shared" si="20"/>
        <v>0</v>
      </c>
      <c r="BP10" s="146">
        <f t="shared" si="21"/>
        <v>15</v>
      </c>
      <c r="BQ10" s="146">
        <f t="shared" si="22"/>
        <v>1</v>
      </c>
      <c r="BR10" s="146">
        <f t="shared" si="23"/>
        <v>0</v>
      </c>
      <c r="BS10" s="146">
        <f t="shared" si="24"/>
        <v>15</v>
      </c>
      <c r="BT10" s="1">
        <f t="shared" si="25"/>
        <v>0</v>
      </c>
      <c r="BU10" s="1">
        <f t="shared" si="26"/>
        <v>0</v>
      </c>
      <c r="BV10" s="138"/>
    </row>
    <row r="11" spans="2:74" ht="19.5" customHeight="1">
      <c r="B11" s="41">
        <f>IF(AND(D10=D11,E10=E11,F10=F11),"","7.")</f>
      </c>
      <c r="C11" s="42" t="str">
        <f t="shared" si="27"/>
        <v>Spieler 7</v>
      </c>
      <c r="D11" s="43">
        <f t="shared" si="28"/>
        <v>0</v>
      </c>
      <c r="E11" s="57">
        <f t="shared" si="29"/>
      </c>
      <c r="F11" s="62" t="str">
        <f t="shared" si="30"/>
        <v> </v>
      </c>
      <c r="I11" s="41">
        <f t="shared" si="31"/>
        <v>7</v>
      </c>
      <c r="J11" s="42" t="str">
        <f>Eingabe!C12</f>
        <v>Spieler 7</v>
      </c>
      <c r="K11" s="43">
        <f>IF(COUNT('Kreuztabelle 10'!D27:'Kreuztabelle 10'!M27)&gt;0,COUNT('Kreuztabelle 10'!D27:'Kreuztabelle 10'!M27),0)</f>
        <v>0</v>
      </c>
      <c r="L11" s="57">
        <f>'Kreuztabelle 10'!O27</f>
      </c>
      <c r="M11" s="62" t="str">
        <f>'Kreuztabelle 10'!N27</f>
        <v> </v>
      </c>
      <c r="N11">
        <f>IF(M11=" ",0.04,M11*100000+L11*1000-K11+0.04)</f>
        <v>0.04</v>
      </c>
      <c r="O11" s="64">
        <f t="shared" si="32"/>
        <v>10</v>
      </c>
      <c r="P11" s="64" t="e">
        <f>IF(AND(D10=D11,E10=E11,F10=F11),P10,7)</f>
        <v>#VALUE!</v>
      </c>
      <c r="Q11" s="65" t="e">
        <f t="shared" si="33"/>
        <v>#VALUE!</v>
      </c>
      <c r="R11" s="65" t="str">
        <f t="shared" si="16"/>
        <v> </v>
      </c>
      <c r="T11" s="1">
        <v>7</v>
      </c>
      <c r="AA11" t="str">
        <f>Eingabe!C13</f>
        <v>Spieler 8</v>
      </c>
      <c r="AB11" s="1">
        <f>IF(Eingabe!E13=" ",0,Eingabe!E13)</f>
        <v>0</v>
      </c>
      <c r="AC11" s="1">
        <f>IF(Eingabe!D13=5,5,IF(Eingabe!D13=10,10,15))</f>
        <v>15</v>
      </c>
      <c r="AD11" s="137">
        <f>$AB$6</f>
        <v>0</v>
      </c>
      <c r="AE11" s="3">
        <f>$AB$4</f>
        <v>0</v>
      </c>
      <c r="AF11" s="3">
        <f>$AB$13</f>
        <v>0</v>
      </c>
      <c r="AG11" s="3">
        <f>$AB$9</f>
        <v>0</v>
      </c>
      <c r="AH11" s="3">
        <f>$AB$7</f>
        <v>0</v>
      </c>
      <c r="AI11" s="3">
        <f>$AB$5</f>
        <v>0</v>
      </c>
      <c r="AJ11" s="3">
        <f>$AB$12</f>
        <v>0</v>
      </c>
      <c r="AK11" s="3">
        <f>$AB$10</f>
        <v>0</v>
      </c>
      <c r="AL11" s="3">
        <f>$AB$8</f>
        <v>0</v>
      </c>
      <c r="AM11" s="137" t="str">
        <f>'10 Spieler'!$G$14</f>
        <v> </v>
      </c>
      <c r="AN11" s="3" t="str">
        <f>'10 Spieler'!$O$13</f>
        <v> </v>
      </c>
      <c r="AO11" s="3" t="str">
        <f>'10 Spieler'!$W$12</f>
        <v> </v>
      </c>
      <c r="AP11" s="3" t="str">
        <f>'10 Spieler'!$I$22</f>
        <v> </v>
      </c>
      <c r="AQ11" s="3" t="str">
        <f>'10 Spieler'!$Q$23</f>
        <v> </v>
      </c>
      <c r="AR11" s="3" t="str">
        <f>'10 Spieler'!$Y$24</f>
        <v> </v>
      </c>
      <c r="AS11" s="3" t="str">
        <f>'10 Spieler'!$I$34</f>
        <v> </v>
      </c>
      <c r="AT11" s="3" t="str">
        <f>'10 Spieler'!$O$34</f>
        <v> </v>
      </c>
      <c r="AU11" s="3" t="str">
        <f>'10 Spieler'!$W$33</f>
        <v> </v>
      </c>
      <c r="AV11" s="137" t="str">
        <f t="shared" si="17"/>
        <v> </v>
      </c>
      <c r="AW11" s="3" t="str">
        <f t="shared" si="0"/>
        <v> </v>
      </c>
      <c r="AX11" s="3" t="str">
        <f t="shared" si="1"/>
        <v> </v>
      </c>
      <c r="AY11" s="3" t="str">
        <f t="shared" si="2"/>
        <v> </v>
      </c>
      <c r="AZ11" s="3" t="str">
        <f t="shared" si="3"/>
        <v> </v>
      </c>
      <c r="BA11" s="3" t="str">
        <f t="shared" si="4"/>
        <v> </v>
      </c>
      <c r="BB11" s="3" t="str">
        <f t="shared" si="5"/>
        <v> </v>
      </c>
      <c r="BC11" s="3" t="str">
        <f t="shared" si="6"/>
        <v> </v>
      </c>
      <c r="BD11" s="3" t="str">
        <f t="shared" si="7"/>
        <v> </v>
      </c>
      <c r="BE11" s="142">
        <f t="shared" si="18"/>
        <v>0</v>
      </c>
      <c r="BF11" s="143">
        <f t="shared" si="8"/>
        <v>0</v>
      </c>
      <c r="BG11" s="143">
        <f t="shared" si="9"/>
        <v>0</v>
      </c>
      <c r="BH11" s="143">
        <f t="shared" si="10"/>
        <v>0</v>
      </c>
      <c r="BI11" s="143">
        <f t="shared" si="11"/>
        <v>0</v>
      </c>
      <c r="BJ11" s="143">
        <f t="shared" si="12"/>
        <v>0</v>
      </c>
      <c r="BK11" s="143">
        <f t="shared" si="13"/>
        <v>0</v>
      </c>
      <c r="BL11" s="143">
        <f t="shared" si="14"/>
        <v>0</v>
      </c>
      <c r="BM11" s="143">
        <f t="shared" si="15"/>
        <v>0</v>
      </c>
      <c r="BN11" s="150">
        <f t="shared" si="19"/>
        <v>0</v>
      </c>
      <c r="BO11" s="1">
        <f t="shared" si="20"/>
        <v>0</v>
      </c>
      <c r="BP11" s="146">
        <f t="shared" si="21"/>
        <v>15</v>
      </c>
      <c r="BQ11" s="146">
        <f t="shared" si="22"/>
        <v>1</v>
      </c>
      <c r="BR11" s="146">
        <f t="shared" si="23"/>
        <v>0</v>
      </c>
      <c r="BS11" s="146">
        <f t="shared" si="24"/>
        <v>15</v>
      </c>
      <c r="BT11" s="1">
        <f t="shared" si="25"/>
        <v>0</v>
      </c>
      <c r="BU11" s="1">
        <f t="shared" si="26"/>
        <v>0</v>
      </c>
      <c r="BV11" s="138"/>
    </row>
    <row r="12" spans="2:74" ht="19.5" customHeight="1">
      <c r="B12" s="41">
        <f>IF(AND(D11=D12,E11=E12,F11=F12),"","8.")</f>
      </c>
      <c r="C12" s="42" t="str">
        <f t="shared" si="27"/>
        <v>Spieler 8</v>
      </c>
      <c r="D12" s="43">
        <f t="shared" si="28"/>
        <v>0</v>
      </c>
      <c r="E12" s="57">
        <f t="shared" si="29"/>
      </c>
      <c r="F12" s="62" t="str">
        <f t="shared" si="30"/>
        <v> </v>
      </c>
      <c r="I12" s="41">
        <f t="shared" si="31"/>
        <v>8</v>
      </c>
      <c r="J12" s="42" t="str">
        <f>Eingabe!C13</f>
        <v>Spieler 8</v>
      </c>
      <c r="K12" s="43">
        <f>IF(COUNT('Kreuztabelle 10'!D28:'Kreuztabelle 10'!M28)&gt;0,COUNT('Kreuztabelle 10'!D28:'Kreuztabelle 10'!M28),0)</f>
        <v>0</v>
      </c>
      <c r="L12" s="57">
        <f>'Kreuztabelle 10'!O28</f>
      </c>
      <c r="M12" s="62" t="str">
        <f>'Kreuztabelle 10'!N28</f>
        <v> </v>
      </c>
      <c r="N12">
        <f>IF(M12=" ",0.03,M12*100000+L12*1000-K12+0.03)</f>
        <v>0.03</v>
      </c>
      <c r="O12" s="64">
        <f t="shared" si="32"/>
        <v>10</v>
      </c>
      <c r="P12" s="64" t="e">
        <f>IF(AND(D11=D12,E11=E12,F11=F12),P11,8)</f>
        <v>#VALUE!</v>
      </c>
      <c r="Q12" s="65" t="e">
        <f t="shared" si="33"/>
        <v>#VALUE!</v>
      </c>
      <c r="R12" s="65" t="str">
        <f t="shared" si="16"/>
        <v> </v>
      </c>
      <c r="T12" s="1">
        <v>8</v>
      </c>
      <c r="AA12" t="str">
        <f>Eingabe!C14</f>
        <v>Spieler 9</v>
      </c>
      <c r="AB12" s="1">
        <f>IF(Eingabe!E14=" ",0,Eingabe!E14)</f>
        <v>0</v>
      </c>
      <c r="AC12" s="1">
        <f>IF(Eingabe!D14=5,5,IF(Eingabe!D14=10,10,15))</f>
        <v>15</v>
      </c>
      <c r="AD12" s="137">
        <f>$AB$5</f>
        <v>0</v>
      </c>
      <c r="AE12" s="3">
        <f>$AB$13</f>
        <v>0</v>
      </c>
      <c r="AF12" s="3">
        <f>$AB$10</f>
        <v>0</v>
      </c>
      <c r="AG12" s="3">
        <f>$AB$8</f>
        <v>0</v>
      </c>
      <c r="AH12" s="3">
        <f>$AB$6</f>
        <v>0</v>
      </c>
      <c r="AI12" s="3">
        <f>$AB$4</f>
        <v>0</v>
      </c>
      <c r="AJ12" s="3">
        <f>$AB$11</f>
        <v>0</v>
      </c>
      <c r="AK12" s="3">
        <f>$AB$9</f>
        <v>0</v>
      </c>
      <c r="AL12" s="3">
        <f>$AB$7</f>
        <v>0</v>
      </c>
      <c r="AM12" s="137" t="str">
        <f>'10 Spieler'!$G$13</f>
        <v> </v>
      </c>
      <c r="AN12" s="3" t="str">
        <f>'10 Spieler'!$O$12</f>
        <v> </v>
      </c>
      <c r="AO12" s="3" t="str">
        <f>'10 Spieler'!$Y$13</f>
        <v> </v>
      </c>
      <c r="AP12" s="3" t="str">
        <f>'10 Spieler'!$I$23</f>
        <v> </v>
      </c>
      <c r="AQ12" s="3" t="str">
        <f>'10 Spieler'!$Q$24</f>
        <v> </v>
      </c>
      <c r="AR12" s="3" t="str">
        <f>'10 Spieler'!$Y$25</f>
        <v> </v>
      </c>
      <c r="AS12" s="3" t="str">
        <f>'10 Spieler'!$G$34</f>
        <v> </v>
      </c>
      <c r="AT12" s="3" t="str">
        <f>'10 Spieler'!$O$33</f>
        <v> </v>
      </c>
      <c r="AU12" s="3" t="str">
        <f>'10 Spieler'!$W$32</f>
        <v> </v>
      </c>
      <c r="AV12" s="137" t="str">
        <f t="shared" si="17"/>
        <v> </v>
      </c>
      <c r="AW12" s="3" t="str">
        <f t="shared" si="0"/>
        <v> </v>
      </c>
      <c r="AX12" s="3" t="str">
        <f t="shared" si="1"/>
        <v> </v>
      </c>
      <c r="AY12" s="3" t="str">
        <f t="shared" si="2"/>
        <v> </v>
      </c>
      <c r="AZ12" s="3" t="str">
        <f t="shared" si="3"/>
        <v> </v>
      </c>
      <c r="BA12" s="3" t="str">
        <f t="shared" si="4"/>
        <v> </v>
      </c>
      <c r="BB12" s="3" t="str">
        <f t="shared" si="5"/>
        <v> </v>
      </c>
      <c r="BC12" s="3" t="str">
        <f t="shared" si="6"/>
        <v> </v>
      </c>
      <c r="BD12" s="3" t="str">
        <f t="shared" si="7"/>
        <v> </v>
      </c>
      <c r="BE12" s="142">
        <f t="shared" si="18"/>
        <v>0</v>
      </c>
      <c r="BF12" s="143">
        <f t="shared" si="8"/>
        <v>0</v>
      </c>
      <c r="BG12" s="143">
        <f t="shared" si="9"/>
        <v>0</v>
      </c>
      <c r="BH12" s="143">
        <f t="shared" si="10"/>
        <v>0</v>
      </c>
      <c r="BI12" s="143">
        <f t="shared" si="11"/>
        <v>0</v>
      </c>
      <c r="BJ12" s="143">
        <f t="shared" si="12"/>
        <v>0</v>
      </c>
      <c r="BK12" s="143">
        <f t="shared" si="13"/>
        <v>0</v>
      </c>
      <c r="BL12" s="143">
        <f t="shared" si="14"/>
        <v>0</v>
      </c>
      <c r="BM12" s="143">
        <f t="shared" si="15"/>
        <v>0</v>
      </c>
      <c r="BN12" s="150">
        <f t="shared" si="19"/>
        <v>0</v>
      </c>
      <c r="BO12" s="1">
        <f t="shared" si="20"/>
        <v>0</v>
      </c>
      <c r="BP12" s="146">
        <f t="shared" si="21"/>
        <v>15</v>
      </c>
      <c r="BQ12" s="146">
        <f>IF(AI12=5,IF(BT12&gt;=BN12,AH12/2000,1),1)</f>
        <v>1</v>
      </c>
      <c r="BR12" s="146">
        <f>IF(BT12&gt;=BN12,0,IF((IF(AI12=5,IF(AH12&lt;1300,(POWER(2.71828,(1300-AH12)/150))-1,0),0))&gt;150,150,IF(AI12=5,IF(AH12&lt;1300,(POWER(2.71828,(1300-AH12)/150))-1,0),0)))</f>
        <v>0</v>
      </c>
      <c r="BS12" s="146">
        <f t="shared" si="24"/>
        <v>15</v>
      </c>
      <c r="BT12" s="1">
        <f t="shared" si="25"/>
        <v>0</v>
      </c>
      <c r="BU12" s="1">
        <f t="shared" si="26"/>
        <v>0</v>
      </c>
      <c r="BV12" s="138"/>
    </row>
    <row r="13" spans="2:74" ht="19.5" customHeight="1">
      <c r="B13" s="41">
        <f>IF(AND(D12=D13,E12=E13,F12=F13),"","9.")</f>
      </c>
      <c r="C13" s="42" t="str">
        <f t="shared" si="27"/>
        <v>Spieler 9</v>
      </c>
      <c r="D13" s="43">
        <f t="shared" si="28"/>
        <v>0</v>
      </c>
      <c r="E13" s="57">
        <f t="shared" si="29"/>
      </c>
      <c r="F13" s="62" t="str">
        <f t="shared" si="30"/>
        <v> </v>
      </c>
      <c r="I13" s="41">
        <f t="shared" si="31"/>
        <v>9</v>
      </c>
      <c r="J13" s="42" t="str">
        <f>Eingabe!C14</f>
        <v>Spieler 9</v>
      </c>
      <c r="K13" s="43">
        <f>IF(COUNT('Kreuztabelle 10'!D29:'Kreuztabelle 10'!M29)&gt;0,COUNT('Kreuztabelle 10'!D29:'Kreuztabelle 10'!M29),0)</f>
        <v>0</v>
      </c>
      <c r="L13" s="57">
        <f>'Kreuztabelle 10'!O29</f>
      </c>
      <c r="M13" s="62" t="str">
        <f>'Kreuztabelle 10'!N29</f>
        <v> </v>
      </c>
      <c r="N13">
        <f>IF(M13=" ",0.02,M13*100000+L13*1000-K13+0.02)</f>
        <v>0.02</v>
      </c>
      <c r="O13" s="64">
        <f t="shared" si="32"/>
        <v>10</v>
      </c>
      <c r="P13" s="64" t="e">
        <f>IF(AND(D12=D13,E12=E13,F12=F13),P12,9)</f>
        <v>#VALUE!</v>
      </c>
      <c r="Q13" s="65" t="e">
        <f t="shared" si="33"/>
        <v>#VALUE!</v>
      </c>
      <c r="R13" s="65" t="str">
        <f t="shared" si="16"/>
        <v> </v>
      </c>
      <c r="T13" s="1">
        <v>9</v>
      </c>
      <c r="AA13" t="str">
        <f>Eingabe!C15</f>
        <v>Spieler 10 / spielfrei</v>
      </c>
      <c r="AB13" s="1">
        <f>IF(Eingabe!E15=" ",0,Eingabe!E15)</f>
        <v>0</v>
      </c>
      <c r="AC13" s="1">
        <f>IF(Eingabe!D15=5,5,IF(Eingabe!D15=10,10,15))</f>
        <v>15</v>
      </c>
      <c r="AD13" s="137">
        <f>$AB$4</f>
        <v>0</v>
      </c>
      <c r="AE13" s="3">
        <f>$AB$12</f>
        <v>0</v>
      </c>
      <c r="AF13" s="3">
        <f>$AB$11</f>
        <v>0</v>
      </c>
      <c r="AG13" s="3">
        <f>$AB$10</f>
        <v>0</v>
      </c>
      <c r="AH13" s="3">
        <f>$AB$9</f>
        <v>0</v>
      </c>
      <c r="AI13" s="3">
        <f>$AB$8</f>
        <v>0</v>
      </c>
      <c r="AJ13" s="3">
        <f>$AB$7</f>
        <v>0</v>
      </c>
      <c r="AK13" s="3">
        <f>$AB$6</f>
        <v>0</v>
      </c>
      <c r="AL13" s="3">
        <f>$AB$5</f>
        <v>0</v>
      </c>
      <c r="AM13" s="137" t="str">
        <f>'10 Spieler'!$I$12</f>
        <v> </v>
      </c>
      <c r="AN13" s="3" t="str">
        <f>'10 Spieler'!$Q$12</f>
        <v> </v>
      </c>
      <c r="AO13" s="3" t="str">
        <f>'10 Spieler'!$Y$12</f>
        <v> </v>
      </c>
      <c r="AP13" s="3" t="str">
        <f>'10 Spieler'!$I$21</f>
        <v> </v>
      </c>
      <c r="AQ13" s="3" t="str">
        <f>'10 Spieler'!$Q$21</f>
        <v> </v>
      </c>
      <c r="AR13" s="3" t="str">
        <f>'10 Spieler'!$Y$21</f>
        <v> </v>
      </c>
      <c r="AS13" s="3" t="str">
        <f>'10 Spieler'!$I$30</f>
        <v> </v>
      </c>
      <c r="AT13" s="3" t="str">
        <f>'10 Spieler'!$Q$30</f>
        <v> </v>
      </c>
      <c r="AU13" s="3" t="str">
        <f>'10 Spieler'!$Y$30</f>
        <v> </v>
      </c>
      <c r="AV13" s="137" t="str">
        <f t="shared" si="17"/>
        <v> </v>
      </c>
      <c r="AW13" s="3" t="str">
        <f t="shared" si="0"/>
        <v> </v>
      </c>
      <c r="AX13" s="3" t="str">
        <f t="shared" si="1"/>
        <v> </v>
      </c>
      <c r="AY13" s="3" t="str">
        <f t="shared" si="2"/>
        <v> </v>
      </c>
      <c r="AZ13" s="3" t="str">
        <f t="shared" si="3"/>
        <v> </v>
      </c>
      <c r="BA13" s="3" t="str">
        <f t="shared" si="4"/>
        <v> </v>
      </c>
      <c r="BB13" s="3" t="str">
        <f t="shared" si="5"/>
        <v> </v>
      </c>
      <c r="BC13" s="3" t="str">
        <f t="shared" si="6"/>
        <v> </v>
      </c>
      <c r="BD13" s="3" t="str">
        <f t="shared" si="7"/>
        <v> </v>
      </c>
      <c r="BE13" s="142">
        <f t="shared" si="18"/>
        <v>0</v>
      </c>
      <c r="BF13" s="143">
        <f t="shared" si="8"/>
        <v>0</v>
      </c>
      <c r="BG13" s="143">
        <f t="shared" si="9"/>
        <v>0</v>
      </c>
      <c r="BH13" s="143">
        <f t="shared" si="10"/>
        <v>0</v>
      </c>
      <c r="BI13" s="143">
        <f t="shared" si="11"/>
        <v>0</v>
      </c>
      <c r="BJ13" s="143">
        <f t="shared" si="12"/>
        <v>0</v>
      </c>
      <c r="BK13" s="143">
        <f t="shared" si="13"/>
        <v>0</v>
      </c>
      <c r="BL13" s="143">
        <f t="shared" si="14"/>
        <v>0</v>
      </c>
      <c r="BM13" s="143">
        <f t="shared" si="15"/>
        <v>0</v>
      </c>
      <c r="BN13" s="150">
        <f t="shared" si="19"/>
        <v>0</v>
      </c>
      <c r="BO13" s="1">
        <f t="shared" si="20"/>
        <v>0</v>
      </c>
      <c r="BP13" s="146">
        <f t="shared" si="21"/>
        <v>15</v>
      </c>
      <c r="BQ13" s="146">
        <f>IF(AI13=5,IF(BT13&gt;=BN13,AH13/2000,1),1)</f>
        <v>1</v>
      </c>
      <c r="BR13" s="146">
        <f>IF(BT13&gt;=BN13,0,IF((IF(AI13=5,IF(AH13&lt;1300,(POWER(2.71828,(1300-AH13)/150))-1,0),0))&gt;150,150,IF(AI13=5,IF(AH13&lt;1300,(POWER(2.71828,(1300-AH13)/150))-1,0),0)))</f>
        <v>0</v>
      </c>
      <c r="BS13" s="146">
        <f t="shared" si="24"/>
        <v>15</v>
      </c>
      <c r="BT13" s="1">
        <f t="shared" si="25"/>
        <v>0</v>
      </c>
      <c r="BU13" s="1">
        <f>IF(Eingabe!C15="spielfrei",-999,IF(AB13=0,0,IF(BO13=0,AB13,ROUND(AB13+800*(BT13-BN13)/(BS13+BO13),0))))</f>
        <v>0</v>
      </c>
      <c r="BV13" s="138"/>
    </row>
    <row r="14" spans="2:73" ht="19.5" customHeight="1" thickBot="1">
      <c r="B14" s="44">
        <f>IF(Eingabe!C15="spielfrei","",IF(AND(D13=D14,E13=E14,F13=F14),"","10."))</f>
      </c>
      <c r="C14" s="45" t="str">
        <f t="shared" si="27"/>
        <v>Spieler 10 / spielfrei</v>
      </c>
      <c r="D14" s="46">
        <f t="shared" si="28"/>
        <v>0</v>
      </c>
      <c r="E14" s="58">
        <f t="shared" si="29"/>
      </c>
      <c r="F14" s="63" t="str">
        <f t="shared" si="30"/>
        <v> </v>
      </c>
      <c r="I14" s="44">
        <f t="shared" si="31"/>
        <v>10</v>
      </c>
      <c r="J14" s="45" t="str">
        <f>Eingabe!C15</f>
        <v>Spieler 10 / spielfrei</v>
      </c>
      <c r="K14" s="46">
        <f>IF(COUNT('Kreuztabelle 10'!D30:'Kreuztabelle 10'!M30)&gt;0,COUNT('Kreuztabelle 10'!D30:'Kreuztabelle 10'!M30),0)</f>
        <v>0</v>
      </c>
      <c r="L14" s="58">
        <f>IF(Eingabe!C15="spielfrei",-0.001,'Kreuztabelle 10'!O30)</f>
      </c>
      <c r="M14" s="63" t="str">
        <f>'Kreuztabelle 10'!N30</f>
        <v> </v>
      </c>
      <c r="N14">
        <f>IF(M14=" ",0.01,M14*100000+L14*1000-K14+0.01)</f>
        <v>0.01</v>
      </c>
      <c r="O14" s="64">
        <f t="shared" si="32"/>
        <v>10</v>
      </c>
      <c r="P14" s="64" t="e">
        <f>IF(AND(D13=D14,E13=E14,F13=F14),P13,10)</f>
        <v>#VALUE!</v>
      </c>
      <c r="Q14" s="65" t="e">
        <f t="shared" si="33"/>
        <v>#VALUE!</v>
      </c>
      <c r="R14" s="65" t="str">
        <f t="shared" si="16"/>
        <v> </v>
      </c>
      <c r="T14" s="1">
        <v>10</v>
      </c>
      <c r="AA14" s="139"/>
      <c r="AB14" s="140"/>
      <c r="AC14" s="140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</row>
    <row r="15" spans="2:10" ht="19.5" customHeight="1">
      <c r="B15" s="2"/>
      <c r="C15" s="2"/>
      <c r="I15" s="2"/>
      <c r="J15" s="2"/>
    </row>
    <row r="16" ht="19.5" customHeight="1"/>
    <row r="17" ht="19.5" customHeight="1" thickBot="1"/>
    <row r="18" spans="2:13" ht="19.5" customHeight="1">
      <c r="B18" s="35"/>
      <c r="C18" s="81" t="s">
        <v>67</v>
      </c>
      <c r="D18" s="37"/>
      <c r="E18" s="37"/>
      <c r="F18" s="38"/>
      <c r="I18" s="35"/>
      <c r="J18" s="36"/>
      <c r="K18" s="37"/>
      <c r="L18" s="37"/>
      <c r="M18" s="38"/>
    </row>
    <row r="19" spans="2:13" ht="19.5" customHeight="1">
      <c r="B19" s="39"/>
      <c r="C19" s="82" t="str">
        <f>J19</f>
        <v>Stand nach der 0. Runde</v>
      </c>
      <c r="D19" s="40"/>
      <c r="E19" s="53" t="s">
        <v>65</v>
      </c>
      <c r="F19" s="54" t="s">
        <v>66</v>
      </c>
      <c r="I19" s="39"/>
      <c r="J19" s="155" t="str">
        <f>IF(EXACT("spielfrei",Eingabe!C15)=TRUE,Q4,R4)</f>
        <v>Stand nach der 0. Runde</v>
      </c>
      <c r="K19" s="40"/>
      <c r="L19" s="53" t="s">
        <v>65</v>
      </c>
      <c r="M19" s="54" t="s">
        <v>66</v>
      </c>
    </row>
    <row r="20" spans="2:20" ht="19.5" customHeight="1">
      <c r="B20" s="41" t="str">
        <f>IF(SUM($E$20:$E$29)=0," ","1.")</f>
        <v> </v>
      </c>
      <c r="C20" s="42" t="str">
        <f>VLOOKUP($T20,$I$20:$M$29,2,FALSE)</f>
        <v>Spieler 1</v>
      </c>
      <c r="D20" s="43">
        <f>VLOOKUP($T20,$I$20:$M$29,3,FALSE)</f>
        <v>0</v>
      </c>
      <c r="E20" s="153">
        <f>VLOOKUP($T20,$I$20:$M$29,4,FALSE)</f>
        <v>0</v>
      </c>
      <c r="F20" s="151">
        <f>VLOOKUP($T20,$I$20:$M$29,5,FALSE)</f>
        <v>0</v>
      </c>
      <c r="I20" s="41">
        <f>RANK(N20,$N$20:$N$29,0)</f>
        <v>1</v>
      </c>
      <c r="J20" s="42" t="str">
        <f>Eingabe!C6</f>
        <v>Spieler 1</v>
      </c>
      <c r="K20" s="43">
        <f>IF(COUNT('Kreuztabelle 10'!D21:'Kreuztabelle 10'!M21)&gt;0,COUNT('Kreuztabelle 10'!D21:'Kreuztabelle 10'!M21),0)</f>
        <v>0</v>
      </c>
      <c r="L20" s="153">
        <f>BU4</f>
        <v>0</v>
      </c>
      <c r="M20" s="151">
        <f>BU4-AB4</f>
        <v>0</v>
      </c>
      <c r="N20">
        <f>IF(M20=" ",0.1,M20*10000+L20+0.2)</f>
        <v>0.2</v>
      </c>
      <c r="O20" s="64">
        <f>COUNTIF($P$5:$P$12,P20)</f>
        <v>0</v>
      </c>
      <c r="P20" s="64" t="str">
        <f>IF((D20+E20+F20)=0," ",1)</f>
        <v> </v>
      </c>
      <c r="T20" s="1">
        <v>1</v>
      </c>
    </row>
    <row r="21" spans="2:20" ht="19.5" customHeight="1">
      <c r="B21" s="41">
        <f>IF(SUM($D$20:$D$29)=0,"",IF(AND(D20=D21,E20=E21,F20=F21),"","2."))</f>
      </c>
      <c r="C21" s="42" t="str">
        <f aca="true" t="shared" si="34" ref="C21:C28">VLOOKUP($T21,$I$20:$M$29,2,FALSE)</f>
        <v>Spieler 2</v>
      </c>
      <c r="D21" s="43">
        <f aca="true" t="shared" si="35" ref="D21:D28">VLOOKUP($T21,$I$20:$M$29,3,FALSE)</f>
        <v>0</v>
      </c>
      <c r="E21" s="153">
        <f aca="true" t="shared" si="36" ref="E21:E28">VLOOKUP($T21,$I$20:$M$29,4,FALSE)</f>
        <v>0</v>
      </c>
      <c r="F21" s="151">
        <f aca="true" t="shared" si="37" ref="F21:F28">VLOOKUP($T21,$I$20:$M$29,5,FALSE)</f>
        <v>0</v>
      </c>
      <c r="I21" s="41">
        <f aca="true" t="shared" si="38" ref="I21:I29">RANK(N21,$N$20:$N$29,0)</f>
        <v>2</v>
      </c>
      <c r="J21" s="42" t="str">
        <f>Eingabe!C7</f>
        <v>Spieler 2</v>
      </c>
      <c r="K21" s="43">
        <f>IF(COUNT('Kreuztabelle 10'!D22:'Kreuztabelle 10'!M22)&gt;0,COUNT('Kreuztabelle 10'!D22:'Kreuztabelle 10'!M22),0)</f>
        <v>0</v>
      </c>
      <c r="L21" s="153">
        <f aca="true" t="shared" si="39" ref="L21:L29">BU5</f>
        <v>0</v>
      </c>
      <c r="M21" s="151">
        <f aca="true" t="shared" si="40" ref="M21:M29">BU5-AB5</f>
        <v>0</v>
      </c>
      <c r="N21">
        <f>IF(M21=" ",0.1,M21*10000+L21+0.19)</f>
        <v>0.19</v>
      </c>
      <c r="O21" s="64">
        <f aca="true" t="shared" si="41" ref="O21:O29">COUNTIF($P$5:$P$12,P21)</f>
        <v>0</v>
      </c>
      <c r="P21" s="64" t="str">
        <f>IF(AND(D20=D21,E20=E21,F20=F21),P20,2)</f>
        <v> </v>
      </c>
      <c r="T21" s="1">
        <v>2</v>
      </c>
    </row>
    <row r="22" spans="2:20" ht="19.5" customHeight="1">
      <c r="B22" s="41">
        <f>IF(SUM($D$20:$D$29)=0,"",IF(AND(D21=D22,E21=E22,F21=F22),"","3."))</f>
      </c>
      <c r="C22" s="42" t="str">
        <f t="shared" si="34"/>
        <v>Spieler 3</v>
      </c>
      <c r="D22" s="43">
        <f t="shared" si="35"/>
        <v>0</v>
      </c>
      <c r="E22" s="153">
        <f t="shared" si="36"/>
        <v>0</v>
      </c>
      <c r="F22" s="151">
        <f t="shared" si="37"/>
        <v>0</v>
      </c>
      <c r="I22" s="41">
        <f t="shared" si="38"/>
        <v>3</v>
      </c>
      <c r="J22" s="42" t="str">
        <f>Eingabe!C8</f>
        <v>Spieler 3</v>
      </c>
      <c r="K22" s="43">
        <f>IF(COUNT('Kreuztabelle 10'!D23:'Kreuztabelle 10'!M23)&gt;0,COUNT('Kreuztabelle 10'!D23:'Kreuztabelle 10'!M23),0)</f>
        <v>0</v>
      </c>
      <c r="L22" s="153">
        <f t="shared" si="39"/>
        <v>0</v>
      </c>
      <c r="M22" s="151">
        <f t="shared" si="40"/>
        <v>0</v>
      </c>
      <c r="N22">
        <f>IF(M22=" ",0.1,M22*10000+L22+0.18)</f>
        <v>0.18</v>
      </c>
      <c r="O22" s="64">
        <f t="shared" si="41"/>
        <v>0</v>
      </c>
      <c r="P22" s="64" t="str">
        <f>IF(AND(D21=D22,E21=E22,F21=F22),P21,3)</f>
        <v> </v>
      </c>
      <c r="T22" s="1">
        <v>3</v>
      </c>
    </row>
    <row r="23" spans="2:20" ht="19.5" customHeight="1">
      <c r="B23" s="41">
        <f>IF(SUM($D$20:$D$29)=0,"",IF(AND(D22=D23,E22=E23,F22=F23),"","4."))</f>
      </c>
      <c r="C23" s="42" t="str">
        <f t="shared" si="34"/>
        <v>Spieler 4</v>
      </c>
      <c r="D23" s="43">
        <f t="shared" si="35"/>
        <v>0</v>
      </c>
      <c r="E23" s="153">
        <f t="shared" si="36"/>
        <v>0</v>
      </c>
      <c r="F23" s="151">
        <f t="shared" si="37"/>
        <v>0</v>
      </c>
      <c r="I23" s="41">
        <f t="shared" si="38"/>
        <v>4</v>
      </c>
      <c r="J23" s="42" t="str">
        <f>Eingabe!C9</f>
        <v>Spieler 4</v>
      </c>
      <c r="K23" s="43">
        <f>IF(COUNT('Kreuztabelle 10'!D24:'Kreuztabelle 10'!M24)&gt;0,COUNT('Kreuztabelle 10'!D24:'Kreuztabelle 10'!M24),0)</f>
        <v>0</v>
      </c>
      <c r="L23" s="153">
        <f t="shared" si="39"/>
        <v>0</v>
      </c>
      <c r="M23" s="151">
        <f t="shared" si="40"/>
        <v>0</v>
      </c>
      <c r="N23">
        <f>IF(M23=" ",0.1,M23*10000+L23+0.17)</f>
        <v>0.17</v>
      </c>
      <c r="O23" s="64">
        <f t="shared" si="41"/>
        <v>0</v>
      </c>
      <c r="P23" s="64" t="str">
        <f>IF(AND(D22=D23,E22=E23,F22=F23),P22,4)</f>
        <v> </v>
      </c>
      <c r="T23" s="1">
        <v>4</v>
      </c>
    </row>
    <row r="24" spans="2:20" ht="19.5" customHeight="1">
      <c r="B24" s="41">
        <f>IF(SUM($D$20:$D$29)=0,"",IF(AND(D23=D24,E23=E24,F23=F24),"","5."))</f>
      </c>
      <c r="C24" s="42" t="str">
        <f t="shared" si="34"/>
        <v>Spieler 5</v>
      </c>
      <c r="D24" s="43">
        <f t="shared" si="35"/>
        <v>0</v>
      </c>
      <c r="E24" s="153">
        <f t="shared" si="36"/>
        <v>0</v>
      </c>
      <c r="F24" s="151">
        <f t="shared" si="37"/>
        <v>0</v>
      </c>
      <c r="I24" s="41">
        <f t="shared" si="38"/>
        <v>5</v>
      </c>
      <c r="J24" s="42" t="str">
        <f>Eingabe!C10</f>
        <v>Spieler 5</v>
      </c>
      <c r="K24" s="43">
        <f>IF(COUNT('Kreuztabelle 10'!D25:'Kreuztabelle 10'!M25)&gt;0,COUNT('Kreuztabelle 10'!D25:'Kreuztabelle 10'!M25),0)</f>
        <v>0</v>
      </c>
      <c r="L24" s="153">
        <f t="shared" si="39"/>
        <v>0</v>
      </c>
      <c r="M24" s="151">
        <f t="shared" si="40"/>
        <v>0</v>
      </c>
      <c r="N24">
        <f>IF(M24=" ",0.1,M24*10000+L24+0.16)</f>
        <v>0.16</v>
      </c>
      <c r="O24" s="64">
        <f t="shared" si="41"/>
        <v>0</v>
      </c>
      <c r="P24" s="64" t="str">
        <f>IF(AND(D23=D24,E23=E24,F23=F24),P23,5)</f>
        <v> </v>
      </c>
      <c r="T24" s="1">
        <v>5</v>
      </c>
    </row>
    <row r="25" spans="2:20" ht="19.5" customHeight="1">
      <c r="B25" s="41">
        <f>IF(SUM($D$20:$D$29)=0,"",IF(AND(D24=D25,E24=E25,F24=F25),"","6."))</f>
      </c>
      <c r="C25" s="42" t="str">
        <f t="shared" si="34"/>
        <v>Spieler 6</v>
      </c>
      <c r="D25" s="43">
        <f t="shared" si="35"/>
        <v>0</v>
      </c>
      <c r="E25" s="153">
        <f t="shared" si="36"/>
        <v>0</v>
      </c>
      <c r="F25" s="151">
        <f t="shared" si="37"/>
        <v>0</v>
      </c>
      <c r="I25" s="41">
        <f t="shared" si="38"/>
        <v>6</v>
      </c>
      <c r="J25" s="42" t="str">
        <f>Eingabe!C11</f>
        <v>Spieler 6</v>
      </c>
      <c r="K25" s="43">
        <f>IF(COUNT('Kreuztabelle 10'!D26:'Kreuztabelle 10'!M26)&gt;0,COUNT('Kreuztabelle 10'!D26:'Kreuztabelle 10'!M26),0)</f>
        <v>0</v>
      </c>
      <c r="L25" s="153">
        <f t="shared" si="39"/>
        <v>0</v>
      </c>
      <c r="M25" s="151">
        <f t="shared" si="40"/>
        <v>0</v>
      </c>
      <c r="N25">
        <f>IF(M25=" ",0.1,M25*10000+L25+0.15)</f>
        <v>0.15</v>
      </c>
      <c r="O25" s="64">
        <f t="shared" si="41"/>
        <v>0</v>
      </c>
      <c r="P25" s="64" t="str">
        <f>IF(AND(D24=D25,E24=E25,F24=F25),P24,6)</f>
        <v> </v>
      </c>
      <c r="T25" s="1">
        <v>6</v>
      </c>
    </row>
    <row r="26" spans="2:20" ht="19.5" customHeight="1">
      <c r="B26" s="41">
        <f>IF(SUM($D$20:$D$29)=0,"",IF(AND(D25=D26,E25=E26,F25=F26),"","7."))</f>
      </c>
      <c r="C26" s="42" t="str">
        <f t="shared" si="34"/>
        <v>Spieler 7</v>
      </c>
      <c r="D26" s="43">
        <f t="shared" si="35"/>
        <v>0</v>
      </c>
      <c r="E26" s="153">
        <f t="shared" si="36"/>
        <v>0</v>
      </c>
      <c r="F26" s="151">
        <f t="shared" si="37"/>
        <v>0</v>
      </c>
      <c r="I26" s="41">
        <f t="shared" si="38"/>
        <v>7</v>
      </c>
      <c r="J26" s="42" t="str">
        <f>Eingabe!C12</f>
        <v>Spieler 7</v>
      </c>
      <c r="K26" s="43">
        <f>IF(COUNT('Kreuztabelle 10'!D27:'Kreuztabelle 10'!M27)&gt;0,COUNT('Kreuztabelle 10'!D27:'Kreuztabelle 10'!M27),0)</f>
        <v>0</v>
      </c>
      <c r="L26" s="153">
        <f t="shared" si="39"/>
        <v>0</v>
      </c>
      <c r="M26" s="151">
        <f t="shared" si="40"/>
        <v>0</v>
      </c>
      <c r="N26">
        <f>IF(M26=" ",0.1,M26*10000+L26+0.14)</f>
        <v>0.14</v>
      </c>
      <c r="O26" s="64">
        <f t="shared" si="41"/>
        <v>0</v>
      </c>
      <c r="P26" s="64" t="str">
        <f>IF(AND(D25=D26,E25=E26,F25=F26),P25,7)</f>
        <v> </v>
      </c>
      <c r="T26" s="1">
        <v>7</v>
      </c>
    </row>
    <row r="27" spans="2:20" ht="19.5" customHeight="1">
      <c r="B27" s="41">
        <f>IF(SUM($D$20:$D$29)=0,"",IF(AND(D26=D27,E26=E27,F26=F27),"","8."))</f>
      </c>
      <c r="C27" s="42" t="str">
        <f t="shared" si="34"/>
        <v>Spieler 8</v>
      </c>
      <c r="D27" s="43">
        <f t="shared" si="35"/>
        <v>0</v>
      </c>
      <c r="E27" s="153">
        <f t="shared" si="36"/>
        <v>0</v>
      </c>
      <c r="F27" s="151">
        <f t="shared" si="37"/>
        <v>0</v>
      </c>
      <c r="I27" s="41">
        <f t="shared" si="38"/>
        <v>8</v>
      </c>
      <c r="J27" s="42" t="str">
        <f>Eingabe!C13</f>
        <v>Spieler 8</v>
      </c>
      <c r="K27" s="43">
        <f>IF(COUNT('Kreuztabelle 10'!D28:'Kreuztabelle 10'!M28)&gt;0,COUNT('Kreuztabelle 10'!D28:'Kreuztabelle 10'!M28),0)</f>
        <v>0</v>
      </c>
      <c r="L27" s="153">
        <f t="shared" si="39"/>
        <v>0</v>
      </c>
      <c r="M27" s="151">
        <f t="shared" si="40"/>
        <v>0</v>
      </c>
      <c r="N27">
        <f>IF(M27=" ",0.1,M27*10000+L27+0.13)</f>
        <v>0.13</v>
      </c>
      <c r="O27" s="64">
        <f t="shared" si="41"/>
        <v>0</v>
      </c>
      <c r="P27" s="64" t="str">
        <f>IF(AND(D26=D27,E26=E27,F26=F27),P26,8)</f>
        <v> </v>
      </c>
      <c r="T27" s="1">
        <v>8</v>
      </c>
    </row>
    <row r="28" spans="2:20" ht="19.5" customHeight="1">
      <c r="B28" s="41">
        <f>IF(SUM($D$20:$D$29)=0,"",IF(AND(D27=D28,E27=E28,F27=F28),"","9."))</f>
      </c>
      <c r="C28" s="42" t="str">
        <f t="shared" si="34"/>
        <v>Spieler 9</v>
      </c>
      <c r="D28" s="43">
        <f t="shared" si="35"/>
        <v>0</v>
      </c>
      <c r="E28" s="153">
        <f t="shared" si="36"/>
        <v>0</v>
      </c>
      <c r="F28" s="151">
        <f t="shared" si="37"/>
        <v>0</v>
      </c>
      <c r="I28" s="41">
        <f t="shared" si="38"/>
        <v>9</v>
      </c>
      <c r="J28" s="42" t="str">
        <f>Eingabe!C14</f>
        <v>Spieler 9</v>
      </c>
      <c r="K28" s="43">
        <f>IF(COUNT('Kreuztabelle 10'!D29:'Kreuztabelle 10'!M29)&gt;0,COUNT('Kreuztabelle 10'!D29:'Kreuztabelle 10'!M29),0)</f>
        <v>0</v>
      </c>
      <c r="L28" s="153">
        <f t="shared" si="39"/>
        <v>0</v>
      </c>
      <c r="M28" s="151">
        <f t="shared" si="40"/>
        <v>0</v>
      </c>
      <c r="N28">
        <f>IF(M28=" ",0.1,M28*10000+L28+0.12)</f>
        <v>0.12</v>
      </c>
      <c r="O28" s="64">
        <f t="shared" si="41"/>
        <v>0</v>
      </c>
      <c r="P28" s="64" t="str">
        <f>IF(AND(D27=D28,E27=E28,F27=F28),P27,9)</f>
        <v> </v>
      </c>
      <c r="T28" s="1">
        <v>9</v>
      </c>
    </row>
    <row r="29" spans="2:20" ht="19.5" customHeight="1" thickBot="1">
      <c r="B29" s="44">
        <f>IF(Eingabe!C15="spielfrei","",IF(SUM($D$20:$D$29)=0,"",IF(AND(D28=D29,E28=E29,F28=F29),"","10.")))</f>
      </c>
      <c r="C29" s="45" t="str">
        <f>IF(Eingabe!C15="spielfrei","",VLOOKUP($T29,$I$20:$M$29,2,FALSE))</f>
        <v>Spieler 10 / spielfrei</v>
      </c>
      <c r="D29" s="46">
        <f>IF(Eingabe!C15="spielfrei","",VLOOKUP($T29,$I$20:$M$29,3,FALSE))</f>
        <v>0</v>
      </c>
      <c r="E29" s="154">
        <f>IF(Eingabe!C15="spielfrei","",VLOOKUP($T29,$I$20:$M$29,4,FALSE))</f>
        <v>0</v>
      </c>
      <c r="F29" s="152">
        <f>IF(Eingabe!C15="spielfrei","",VLOOKUP($T29,$I$20:$M$29,5,FALSE))</f>
        <v>0</v>
      </c>
      <c r="I29" s="44">
        <f t="shared" si="38"/>
        <v>10</v>
      </c>
      <c r="J29" s="45" t="str">
        <f>Eingabe!C15</f>
        <v>Spieler 10 / spielfrei</v>
      </c>
      <c r="K29" s="46">
        <f>IF(COUNT('Kreuztabelle 10'!D30:'Kreuztabelle 10'!M30)&gt;0,COUNT('Kreuztabelle 10'!D30:'Kreuztabelle 10'!M30),0)</f>
        <v>0</v>
      </c>
      <c r="L29" s="154">
        <f t="shared" si="39"/>
        <v>0</v>
      </c>
      <c r="M29" s="152">
        <f t="shared" si="40"/>
        <v>0</v>
      </c>
      <c r="N29">
        <f>IF(M29=" ",0.1,M29*10000+L29+0.11)</f>
        <v>0.11</v>
      </c>
      <c r="O29" s="64">
        <f t="shared" si="41"/>
        <v>0</v>
      </c>
      <c r="P29" s="64" t="str">
        <f>IF(AND(D28=D29,E28=E29,F28=F29),P28,10)</f>
        <v> </v>
      </c>
      <c r="T29" s="1">
        <v>10</v>
      </c>
    </row>
  </sheetData>
  <mergeCells count="4">
    <mergeCell ref="AD2:AL2"/>
    <mergeCell ref="AM2:AU2"/>
    <mergeCell ref="BE2:BM2"/>
    <mergeCell ref="AV2:BD2"/>
  </mergeCells>
  <conditionalFormatting sqref="C14">
    <cfRule type="cellIs" priority="1" dxfId="0" operator="equal" stopIfTrue="1">
      <formula>"spielfrei"</formula>
    </cfRule>
  </conditionalFormatting>
  <conditionalFormatting sqref="E14">
    <cfRule type="expression" priority="2" dxfId="0" stopIfTrue="1">
      <formula>C14="spielfrei"</formula>
    </cfRule>
  </conditionalFormatting>
  <conditionalFormatting sqref="D14">
    <cfRule type="expression" priority="3" dxfId="0" stopIfTrue="1">
      <formula>C14="spielfrei"</formula>
    </cfRule>
  </conditionalFormatting>
  <conditionalFormatting sqref="F14">
    <cfRule type="expression" priority="4" dxfId="0" stopIfTrue="1">
      <formula>C14="spielfrei"</formula>
    </cfRule>
  </conditionalFormatting>
  <conditionalFormatting sqref="C4 C19">
    <cfRule type="expression" priority="5" dxfId="0" stopIfTrue="1">
      <formula>$C$4="Stand nach der 0. Runde"</formula>
    </cfRule>
  </conditionalFormatting>
  <conditionalFormatting sqref="B14 B29">
    <cfRule type="expression" priority="6" dxfId="0" stopIfTrue="1">
      <formula>$C$14="spielfrei"</formula>
    </cfRule>
  </conditionalFormatting>
  <conditionalFormatting sqref="F20:F29">
    <cfRule type="cellIs" priority="7" dxfId="2" operator="greaterThan" stopIfTrue="1">
      <formula>0</formula>
    </cfRule>
    <cfRule type="cellIs" priority="8" dxfId="3" operator="lessThan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Einstein</cp:lastModifiedBy>
  <cp:lastPrinted>2015-02-07T06:36:04Z</cp:lastPrinted>
  <dcterms:created xsi:type="dcterms:W3CDTF">2008-06-10T05:30:02Z</dcterms:created>
  <dcterms:modified xsi:type="dcterms:W3CDTF">2020-02-08T04:40:59Z</dcterms:modified>
  <cp:category/>
  <cp:version/>
  <cp:contentType/>
  <cp:contentStatus/>
</cp:coreProperties>
</file>