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315" yWindow="45" windowWidth="9825" windowHeight="13125" activeTab="0"/>
  </bookViews>
  <sheets>
    <sheet name="Eingabe" sheetId="1" r:id="rId1"/>
    <sheet name="20 Spieler" sheetId="2" r:id="rId2"/>
    <sheet name="Kreuztabelle 20" sheetId="3" r:id="rId3"/>
    <sheet name="Tabelle 20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'20 Spieler'!$A$1:$AO$64</definedName>
    <definedName name="_xlnm.Print_Area" localSheetId="2">'Kreuztabelle 20'!$A$2:$AA$25</definedName>
    <definedName name="_xlnm.Print_Area" localSheetId="3">'Tabelle 20'!$A$1:$G$50</definedName>
    <definedName name="Makro10">[1]!Makro10</definedName>
    <definedName name="Makro12">[2]!Makro12</definedName>
    <definedName name="Makro14">[3]!Makro14</definedName>
    <definedName name="Makro16">[4]!Makro16</definedName>
    <definedName name="Makro18">[5]!Makro18</definedName>
    <definedName name="Makro8">[6]!Makro8</definedName>
  </definedNames>
  <calcPr fullCalcOnLoad="1"/>
</workbook>
</file>

<file path=xl/sharedStrings.xml><?xml version="1.0" encoding="utf-8"?>
<sst xmlns="http://schemas.openxmlformats.org/spreadsheetml/2006/main" count="818" uniqueCount="96">
  <si>
    <t xml:space="preserve">Eingabe Turnier </t>
  </si>
  <si>
    <t>:</t>
  </si>
  <si>
    <t>z. B. Monatsblitzturnier</t>
  </si>
  <si>
    <t>Spieler 1</t>
  </si>
  <si>
    <t>Spieler 11</t>
  </si>
  <si>
    <t>Spieler 2</t>
  </si>
  <si>
    <t>Spieler 12</t>
  </si>
  <si>
    <t>Spieler 3</t>
  </si>
  <si>
    <t>Spieler 13</t>
  </si>
  <si>
    <t>Spieler 4</t>
  </si>
  <si>
    <t>Spieler 14</t>
  </si>
  <si>
    <t>Spieler 5</t>
  </si>
  <si>
    <t>Spieler 15</t>
  </si>
  <si>
    <t>Spieler 6</t>
  </si>
  <si>
    <t>Spieler 16</t>
  </si>
  <si>
    <t>Spieler 7</t>
  </si>
  <si>
    <t>Spieler 17</t>
  </si>
  <si>
    <t>Spieler 8</t>
  </si>
  <si>
    <t>Spieler 18</t>
  </si>
  <si>
    <t>Spieler 9</t>
  </si>
  <si>
    <t>Spieler 19</t>
  </si>
  <si>
    <t>Spieler 10</t>
  </si>
  <si>
    <t>vom :</t>
  </si>
  <si>
    <t>1. Runde</t>
  </si>
  <si>
    <t>2. Runde</t>
  </si>
  <si>
    <t>3. Runde</t>
  </si>
  <si>
    <t>4. Runde</t>
  </si>
  <si>
    <t>5. Runde</t>
  </si>
  <si>
    <t xml:space="preserve"> </t>
  </si>
  <si>
    <t xml:space="preserve">  </t>
  </si>
  <si>
    <t>6. Runde</t>
  </si>
  <si>
    <t>7. Runde</t>
  </si>
  <si>
    <t>8. Runde</t>
  </si>
  <si>
    <t>9. Runde</t>
  </si>
  <si>
    <t>10. Runde</t>
  </si>
  <si>
    <t>11. Runde</t>
  </si>
  <si>
    <t>12. Runde</t>
  </si>
  <si>
    <t>13. Runde</t>
  </si>
  <si>
    <t>14. Runde</t>
  </si>
  <si>
    <t>15. Runde</t>
  </si>
  <si>
    <t>16. Runde</t>
  </si>
  <si>
    <t>17. Runde</t>
  </si>
  <si>
    <t>18. Runde</t>
  </si>
  <si>
    <t>19. Runde</t>
  </si>
  <si>
    <t>Nr.</t>
  </si>
  <si>
    <t>Spieler</t>
  </si>
  <si>
    <t>Punkte</t>
  </si>
  <si>
    <t>Sonn/Berg</t>
  </si>
  <si>
    <t>Platz</t>
  </si>
  <si>
    <t>Tabelle</t>
  </si>
  <si>
    <t>Sitzplan der</t>
  </si>
  <si>
    <t>Runde</t>
  </si>
  <si>
    <t>Schwarz</t>
  </si>
  <si>
    <t>Weiß</t>
  </si>
  <si>
    <t>Ergebnis</t>
  </si>
  <si>
    <t>eine Runde vorgewählt werden.</t>
  </si>
  <si>
    <t xml:space="preserve">Im Feld "G1" kann im Tabellenblatt "20 Spieler" </t>
  </si>
  <si>
    <t>Datum</t>
  </si>
  <si>
    <t>??.??.????</t>
  </si>
  <si>
    <t>Rangfolge</t>
  </si>
  <si>
    <t>Spieler 20 / spielfrei</t>
  </si>
  <si>
    <t xml:space="preserve">Die Paarungen entsprechen dem Sitzplan / die Farbverteilung für die einzelnen Runden wird nur oben angezeigt! </t>
  </si>
  <si>
    <t>J = Alterskonstante (bis 20 = 5; 21 bis 25 = 10; ab 26 = 15)</t>
  </si>
  <si>
    <t>Eingabe Daten</t>
  </si>
  <si>
    <t>Name</t>
  </si>
  <si>
    <t>J</t>
  </si>
  <si>
    <t>DWZ</t>
  </si>
  <si>
    <t>DWZ Tabelle :-)</t>
  </si>
  <si>
    <t>DWZ neu</t>
  </si>
  <si>
    <t xml:space="preserve"> + / - </t>
  </si>
  <si>
    <t>We</t>
  </si>
  <si>
    <t>n</t>
  </si>
  <si>
    <r>
      <t>E</t>
    </r>
    <r>
      <rPr>
        <b/>
        <sz val="6"/>
        <rFont val="Arial"/>
        <family val="2"/>
      </rPr>
      <t>0</t>
    </r>
  </si>
  <si>
    <r>
      <t>f</t>
    </r>
    <r>
      <rPr>
        <b/>
        <sz val="6"/>
        <rFont val="Arial"/>
        <family val="2"/>
      </rPr>
      <t>B</t>
    </r>
  </si>
  <si>
    <r>
      <t>S</t>
    </r>
    <r>
      <rPr>
        <b/>
        <sz val="6"/>
        <rFont val="Arial"/>
        <family val="2"/>
      </rPr>
      <t>Br</t>
    </r>
  </si>
  <si>
    <t>E</t>
  </si>
  <si>
    <t>W</t>
  </si>
  <si>
    <t xml:space="preserve">DWZ der Gegner der </t>
  </si>
  <si>
    <t xml:space="preserve">Ergebnisse der </t>
  </si>
  <si>
    <t xml:space="preserve">Ergebnisse Spieler mit DWZ  </t>
  </si>
  <si>
    <t>Berechnung von p für jedes Spiel</t>
  </si>
  <si>
    <t>Summe p</t>
  </si>
  <si>
    <t>gespielte Partien</t>
  </si>
  <si>
    <t>Berechnung</t>
  </si>
  <si>
    <t>Beschleunigung</t>
  </si>
  <si>
    <t>Bremse</t>
  </si>
  <si>
    <t>(wird gerundet)</t>
  </si>
  <si>
    <t>geholte Punkte</t>
  </si>
  <si>
    <t>Neue DWZ</t>
  </si>
  <si>
    <t>Informationen:</t>
  </si>
  <si>
    <t>Wenn für J kein Wert eingetragen wird, wird dieser auf 15 gesetzt.</t>
  </si>
  <si>
    <t>Die DWZ Berechnung berücksichtigt nicht alle Bestimmungen!</t>
  </si>
  <si>
    <t>Es wird keine Gewähr übernommen, dass diese Tabelle fehlerfrei ist!</t>
  </si>
  <si>
    <t>Diese Tabelle ist für 19 oder 20 Spieler gemacht.</t>
  </si>
  <si>
    <r>
      <t xml:space="preserve">Bei nur 19 Spielern </t>
    </r>
    <r>
      <rPr>
        <b/>
        <u val="single"/>
        <sz val="12"/>
        <rFont val="Arial"/>
        <family val="2"/>
      </rPr>
      <t>muss</t>
    </r>
    <r>
      <rPr>
        <b/>
        <sz val="12"/>
        <rFont val="Arial"/>
        <family val="2"/>
      </rPr>
      <t xml:space="preserve"> immer </t>
    </r>
    <r>
      <rPr>
        <b/>
        <sz val="12"/>
        <color indexed="10"/>
        <rFont val="Arial"/>
        <family val="2"/>
      </rPr>
      <t>spielfrei</t>
    </r>
    <r>
      <rPr>
        <b/>
        <sz val="12"/>
        <rFont val="Arial"/>
        <family val="2"/>
      </rPr>
      <t xml:space="preserve"> für den 20 Spieler eingetragen werden!</t>
    </r>
  </si>
  <si>
    <t>Version 1.02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</si>
</sst>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6"/>
      <name val="Arial"/>
      <family val="2"/>
    </font>
    <font>
      <b/>
      <u val="single"/>
      <sz val="12"/>
      <name val="Arial"/>
      <family val="2"/>
    </font>
    <font>
      <b/>
      <sz val="6"/>
      <color indexed="12"/>
      <name val="Arial"/>
      <family val="2"/>
    </font>
  </fonts>
  <fills count="6">
    <fill>
      <patternFill/>
    </fill>
    <fill>
      <patternFill patternType="gray125"/>
    </fill>
    <fill>
      <patternFill patternType="darkUp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Continuous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Continuous" vertic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4" fontId="8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2" fontId="5" fillId="0" borderId="16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2" borderId="1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72" fontId="1" fillId="0" borderId="2" xfId="0" applyNumberFormat="1" applyFont="1" applyBorder="1" applyAlignment="1">
      <alignment horizontal="center" vertical="center"/>
    </xf>
    <xf numFmtId="172" fontId="1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14" fontId="6" fillId="0" borderId="0" xfId="0" applyNumberFormat="1" applyFont="1" applyBorder="1" applyAlignment="1">
      <alignment horizontal="centerContinuous" vertical="center"/>
    </xf>
    <xf numFmtId="14" fontId="11" fillId="0" borderId="0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2" fontId="0" fillId="0" borderId="0" xfId="0" applyNumberFormat="1" applyFont="1" applyBorder="1" applyAlignment="1">
      <alignment horizontal="left" vertical="center"/>
    </xf>
    <xf numFmtId="14" fontId="5" fillId="0" borderId="0" xfId="0" applyNumberFormat="1" applyFont="1" applyAlignment="1">
      <alignment horizontal="centerContinuous"/>
    </xf>
    <xf numFmtId="0" fontId="0" fillId="0" borderId="16" xfId="0" applyBorder="1" applyAlignment="1">
      <alignment horizontal="centerContinuous"/>
    </xf>
    <xf numFmtId="0" fontId="6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22" xfId="0" applyFill="1" applyBorder="1" applyAlignment="1">
      <alignment/>
    </xf>
    <xf numFmtId="0" fontId="5" fillId="3" borderId="2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0" fillId="3" borderId="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2" fontId="1" fillId="0" borderId="3" xfId="0" applyNumberFormat="1" applyFon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2" fontId="1" fillId="0" borderId="2" xfId="0" applyNumberFormat="1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4" borderId="25" xfId="0" applyFill="1" applyBorder="1" applyAlignment="1">
      <alignment horizontal="left" vertical="center"/>
    </xf>
    <xf numFmtId="0" fontId="0" fillId="4" borderId="2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7" xfId="0" applyFill="1" applyBorder="1" applyAlignment="1">
      <alignment horizontal="left" vertical="center"/>
    </xf>
    <xf numFmtId="0" fontId="0" fillId="4" borderId="1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173" fontId="0" fillId="0" borderId="29" xfId="0" applyNumberFormat="1" applyBorder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0" borderId="29" xfId="0" applyNumberFormat="1" applyBorder="1" applyAlignment="1">
      <alignment horizontal="left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2" fillId="3" borderId="0" xfId="0" applyFont="1" applyFill="1" applyAlignment="1">
      <alignment vertical="center"/>
    </xf>
    <xf numFmtId="0" fontId="19" fillId="3" borderId="0" xfId="0" applyFont="1" applyFill="1" applyAlignment="1">
      <alignment horizontal="left" vertical="top"/>
    </xf>
    <xf numFmtId="14" fontId="15" fillId="3" borderId="0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3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rgb="FFFFFFFF"/>
      </font>
      <border/>
    </dxf>
    <dxf>
      <font>
        <color rgb="FFFF0000"/>
      </font>
      <border/>
    </dxf>
    <dxf>
      <font>
        <b/>
        <i val="0"/>
        <color rgb="FF336666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Schach\Rutschsy\Einzel\RUTSYS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Schach\Rutschsy\Einzel\RUTSYS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Schach\Rutschsy\Einzel\RUTSYS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Schach\Rutschsy\Einzel\RUTSYS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Schach\Rutschsy\Einzel\RUTSYS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Schach\Rutschsy\Einzel\RUTSYS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RUTSYS08DW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10 Spieler"/>
      <sheetName val="Kreuztabelle 10"/>
      <sheetName val="Tabelle 10"/>
      <sheetName val="Modul 10"/>
    </sheetNames>
    <definedNames>
      <definedName name="Makro1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12 Spieler"/>
      <sheetName val="Kreuztabelle 12"/>
      <sheetName val="Tabelle 12"/>
      <sheetName val="Modul 12"/>
    </sheetNames>
    <definedNames>
      <definedName name="Makro12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14 Spieler"/>
      <sheetName val="Kreuztabelle 14"/>
      <sheetName val="Tabelle 14"/>
      <sheetName val="Modul 14"/>
    </sheetNames>
    <definedNames>
      <definedName name="Makro14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16 Spieler"/>
      <sheetName val="Kreuztabelle 16"/>
      <sheetName val="Tabelle 16"/>
      <sheetName val="Modul 16"/>
    </sheetNames>
    <definedNames>
      <definedName name="Makro16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18 Spieler"/>
      <sheetName val="Kreuztabelle 18"/>
      <sheetName val="Tabelle 18"/>
      <sheetName val="Modul 18"/>
    </sheetNames>
    <definedNames>
      <definedName name="Makro18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8 Spieler"/>
      <sheetName val="Kreuztabelle 8"/>
      <sheetName val="Tabelle 8"/>
      <sheetName val="Modul 8"/>
    </sheetNames>
    <definedNames>
      <definedName name="Makro8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8 Spieler"/>
      <sheetName val="Kreuztabelle 8"/>
      <sheetName val="Tabelle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50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2.7109375" style="0" customWidth="1"/>
    <col min="2" max="2" width="3.7109375" style="0" customWidth="1"/>
    <col min="3" max="3" width="2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25.7109375" style="0" customWidth="1"/>
    <col min="8" max="8" width="3.7109375" style="0" customWidth="1"/>
    <col min="9" max="9" width="6.7109375" style="0" customWidth="1"/>
    <col min="10" max="26" width="12.7109375" style="0" customWidth="1"/>
  </cols>
  <sheetData>
    <row r="1" spans="1:26" ht="19.5" customHeight="1">
      <c r="A1" s="171" t="s">
        <v>95</v>
      </c>
      <c r="B1" s="172" t="str">
        <f ca="1">"Heute ist "&amp;IF(WEEKDAY(TODAY())=1,"Sonntag","")&amp;IF(WEEKDAY(TODAY())=2,"Montag","")&amp;IF(WEEKDAY(TODAY())=3,"Dienstag","")&amp;IF(WEEKDAY(TODAY())=4,"Mittwoch","")&amp;IF(WEEKDAY(TODAY())=5,"Donnerstag","")&amp;IF(WEEKDAY(TODAY())=6,"Freitag","")&amp;IF(WEEKDAY(TODAY())=7,"Samstag","")&amp;" der "&amp;DAY(TODAY())&amp;". "&amp;IF(MONTH(TODAY())=1,"Januar","")&amp;IF(MONTH(TODAY())=2,"Februar","")&amp;IF(MONTH(TODAY())=3,"März","")&amp;IF(MONTH(TODAY())=4,"April","")&amp;IF(MONTH(TODAY())=5,"Mai","")&amp;IF(MONTH(TODAY())=6,"Juni","")&amp;IF(MONTH(TODAY())=7,"Juli","")&amp;IF(MONTH(TODAY())=8,"August","")&amp;IF(MONTH(TODAY())=9,"September","")&amp;IF(MONTH(TODAY())=10,"Oktober","")&amp;IF(MONTH(TODAY())=11,"November","")&amp;IF(MONTH(TODAY())=12,"Dezember","")&amp;" "&amp;YEAR(TODAY())</f>
        <v>Heute ist Samstag der 8. Februar 2020</v>
      </c>
      <c r="C1" s="172"/>
      <c r="D1" s="172"/>
      <c r="E1" s="172"/>
      <c r="F1" s="172"/>
      <c r="G1" s="172"/>
      <c r="H1" s="172"/>
      <c r="I1" s="172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4" customHeight="1">
      <c r="A2" s="90"/>
      <c r="B2" s="129"/>
      <c r="C2" s="176" t="s">
        <v>57</v>
      </c>
      <c r="D2" s="176"/>
      <c r="E2" s="176"/>
      <c r="F2" s="92" t="s">
        <v>1</v>
      </c>
      <c r="G2" s="177" t="s">
        <v>58</v>
      </c>
      <c r="H2" s="177"/>
      <c r="I2" s="177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24" customHeight="1">
      <c r="A3" s="89"/>
      <c r="B3" s="93"/>
      <c r="C3" s="173" t="s">
        <v>0</v>
      </c>
      <c r="D3" s="173"/>
      <c r="E3" s="173"/>
      <c r="F3" s="94" t="s">
        <v>1</v>
      </c>
      <c r="G3" s="174" t="s">
        <v>2</v>
      </c>
      <c r="H3" s="174"/>
      <c r="I3" s="174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6" ht="24" customHeight="1">
      <c r="A4" s="89"/>
      <c r="B4" s="175" t="s">
        <v>63</v>
      </c>
      <c r="C4" s="175"/>
      <c r="D4" s="175"/>
      <c r="E4" s="175"/>
      <c r="F4" s="175"/>
      <c r="G4" s="175"/>
      <c r="H4" s="175"/>
      <c r="I4" s="175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24" customHeight="1" thickBot="1">
      <c r="A5" s="131"/>
      <c r="B5" s="95"/>
      <c r="C5" s="132" t="s">
        <v>64</v>
      </c>
      <c r="D5" s="133" t="s">
        <v>65</v>
      </c>
      <c r="E5" s="133" t="s">
        <v>66</v>
      </c>
      <c r="F5" s="96"/>
      <c r="G5" s="132" t="s">
        <v>64</v>
      </c>
      <c r="H5" s="133" t="s">
        <v>65</v>
      </c>
      <c r="I5" s="133" t="s">
        <v>66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24.75" customHeight="1">
      <c r="A6" s="89"/>
      <c r="B6" s="97">
        <v>1</v>
      </c>
      <c r="C6" s="134" t="s">
        <v>3</v>
      </c>
      <c r="D6" s="135"/>
      <c r="E6" s="136"/>
      <c r="F6" s="97">
        <v>11</v>
      </c>
      <c r="G6" s="134" t="s">
        <v>4</v>
      </c>
      <c r="H6" s="135"/>
      <c r="I6" s="136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24.75" customHeight="1">
      <c r="A7" s="89"/>
      <c r="B7" s="98">
        <v>2</v>
      </c>
      <c r="C7" s="137" t="s">
        <v>5</v>
      </c>
      <c r="D7" s="138"/>
      <c r="E7" s="139"/>
      <c r="F7" s="98">
        <v>12</v>
      </c>
      <c r="G7" s="137" t="s">
        <v>6</v>
      </c>
      <c r="H7" s="138"/>
      <c r="I7" s="13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24.75" customHeight="1">
      <c r="A8" s="89"/>
      <c r="B8" s="98">
        <v>3</v>
      </c>
      <c r="C8" s="137" t="s">
        <v>7</v>
      </c>
      <c r="D8" s="138"/>
      <c r="E8" s="139"/>
      <c r="F8" s="98">
        <v>13</v>
      </c>
      <c r="G8" s="137" t="s">
        <v>8</v>
      </c>
      <c r="H8" s="138"/>
      <c r="I8" s="13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ht="24.75" customHeight="1">
      <c r="A9" s="89"/>
      <c r="B9" s="98">
        <v>4</v>
      </c>
      <c r="C9" s="137" t="s">
        <v>9</v>
      </c>
      <c r="D9" s="138"/>
      <c r="E9" s="139"/>
      <c r="F9" s="98">
        <v>14</v>
      </c>
      <c r="G9" s="137" t="s">
        <v>10</v>
      </c>
      <c r="H9" s="138"/>
      <c r="I9" s="13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spans="1:26" ht="24.75" customHeight="1">
      <c r="A10" s="89"/>
      <c r="B10" s="98">
        <v>5</v>
      </c>
      <c r="C10" s="137" t="s">
        <v>11</v>
      </c>
      <c r="D10" s="138"/>
      <c r="E10" s="139"/>
      <c r="F10" s="98">
        <v>15</v>
      </c>
      <c r="G10" s="137" t="s">
        <v>12</v>
      </c>
      <c r="H10" s="138"/>
      <c r="I10" s="13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ht="24.75" customHeight="1">
      <c r="A11" s="89"/>
      <c r="B11" s="98">
        <v>6</v>
      </c>
      <c r="C11" s="137" t="s">
        <v>13</v>
      </c>
      <c r="D11" s="138"/>
      <c r="E11" s="139"/>
      <c r="F11" s="98">
        <v>16</v>
      </c>
      <c r="G11" s="137" t="s">
        <v>14</v>
      </c>
      <c r="H11" s="138"/>
      <c r="I11" s="13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ht="24.75" customHeight="1">
      <c r="A12" s="89"/>
      <c r="B12" s="98">
        <v>7</v>
      </c>
      <c r="C12" s="137" t="s">
        <v>15</v>
      </c>
      <c r="D12" s="138"/>
      <c r="E12" s="139"/>
      <c r="F12" s="98">
        <v>17</v>
      </c>
      <c r="G12" s="137" t="s">
        <v>16</v>
      </c>
      <c r="H12" s="138"/>
      <c r="I12" s="13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24.75" customHeight="1">
      <c r="A13" s="89"/>
      <c r="B13" s="98">
        <v>8</v>
      </c>
      <c r="C13" s="137" t="s">
        <v>17</v>
      </c>
      <c r="D13" s="138"/>
      <c r="E13" s="139"/>
      <c r="F13" s="98">
        <v>18</v>
      </c>
      <c r="G13" s="137" t="s">
        <v>18</v>
      </c>
      <c r="H13" s="138"/>
      <c r="I13" s="13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ht="24.75" customHeight="1">
      <c r="A14" s="89"/>
      <c r="B14" s="98">
        <v>9</v>
      </c>
      <c r="C14" s="137" t="s">
        <v>19</v>
      </c>
      <c r="D14" s="138"/>
      <c r="E14" s="139"/>
      <c r="F14" s="98">
        <v>19</v>
      </c>
      <c r="G14" s="137" t="s">
        <v>20</v>
      </c>
      <c r="H14" s="138"/>
      <c r="I14" s="13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ht="24.75" customHeight="1" thickBot="1">
      <c r="A15" s="89"/>
      <c r="B15" s="99">
        <v>10</v>
      </c>
      <c r="C15" s="140" t="s">
        <v>21</v>
      </c>
      <c r="D15" s="141"/>
      <c r="E15" s="142"/>
      <c r="F15" s="99">
        <v>20</v>
      </c>
      <c r="G15" s="140" t="s">
        <v>60</v>
      </c>
      <c r="H15" s="141"/>
      <c r="I15" s="142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ht="24.7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ht="15" customHeight="1">
      <c r="A17" s="143"/>
      <c r="B17" s="91" t="s">
        <v>89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</row>
    <row r="18" spans="1:26" ht="15" customHeight="1">
      <c r="A18" s="143"/>
      <c r="B18" s="91" t="s">
        <v>93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r="19" spans="1:26" ht="15" customHeight="1">
      <c r="A19" s="143"/>
      <c r="B19" s="91" t="s">
        <v>94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</row>
    <row r="20" spans="1:26" ht="1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15" customHeight="1">
      <c r="A21" s="89"/>
      <c r="B21" s="91" t="s">
        <v>56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15" customHeight="1">
      <c r="A22" s="89"/>
      <c r="B22" s="91" t="s">
        <v>55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ht="1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15" customHeight="1">
      <c r="A24" s="89"/>
      <c r="B24" s="91" t="s">
        <v>62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15" customHeight="1">
      <c r="A25" s="89"/>
      <c r="B25" s="91" t="s">
        <v>90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15" customHeight="1">
      <c r="A26" s="89"/>
      <c r="B26" s="91" t="s">
        <v>91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15" customHeight="1">
      <c r="A27" s="89"/>
      <c r="B27" s="91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15" customHeight="1">
      <c r="A28" s="89"/>
      <c r="B28" s="170" t="s">
        <v>92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1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spans="1:26" ht="1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1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spans="1:26" ht="1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1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ht="1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ht="1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1:26" ht="1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1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1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1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ht="1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ht="1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1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1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ht="1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ht="1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ht="1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ht="1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ht="1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</sheetData>
  <mergeCells count="6">
    <mergeCell ref="B1:I1"/>
    <mergeCell ref="C3:E3"/>
    <mergeCell ref="G3:I3"/>
    <mergeCell ref="B4:I4"/>
    <mergeCell ref="C2:E2"/>
    <mergeCell ref="G2:I2"/>
  </mergeCells>
  <printOptions horizontalCentered="1"/>
  <pageMargins left="0.3937007874015748" right="0.3937007874015748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BQ196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8.00390625" style="0" customWidth="1"/>
    <col min="2" max="2" width="3.7109375" style="0" customWidth="1"/>
    <col min="3" max="3" width="13.7109375" style="0" customWidth="1"/>
    <col min="4" max="4" width="1.57421875" style="0" customWidth="1"/>
    <col min="5" max="5" width="2.7109375" style="0" customWidth="1"/>
    <col min="6" max="6" width="11.7109375" style="0" customWidth="1"/>
    <col min="7" max="7" width="4.140625" style="0" customWidth="1"/>
    <col min="8" max="8" width="1.57421875" style="0" customWidth="1"/>
    <col min="9" max="9" width="4.140625" style="0" customWidth="1"/>
    <col min="10" max="10" width="3.7109375" style="0" customWidth="1"/>
    <col min="11" max="11" width="13.7109375" style="0" customWidth="1"/>
    <col min="12" max="12" width="1.57421875" style="0" customWidth="1"/>
    <col min="13" max="13" width="2.7109375" style="0" customWidth="1"/>
    <col min="14" max="14" width="11.7109375" style="0" customWidth="1"/>
    <col min="15" max="15" width="4.140625" style="0" customWidth="1"/>
    <col min="16" max="16" width="1.57421875" style="0" customWidth="1"/>
    <col min="17" max="17" width="4.140625" style="0" customWidth="1"/>
    <col min="18" max="18" width="3.7109375" style="0" customWidth="1"/>
    <col min="19" max="19" width="13.7109375" style="0" customWidth="1"/>
    <col min="20" max="20" width="1.57421875" style="0" customWidth="1"/>
    <col min="21" max="21" width="2.7109375" style="0" customWidth="1"/>
    <col min="22" max="22" width="11.7109375" style="0" customWidth="1"/>
    <col min="23" max="23" width="4.140625" style="0" customWidth="1"/>
    <col min="24" max="24" width="1.57421875" style="0" customWidth="1"/>
    <col min="25" max="25" width="4.140625" style="0" customWidth="1"/>
    <col min="26" max="26" width="3.7109375" style="0" customWidth="1"/>
    <col min="27" max="27" width="13.7109375" style="0" customWidth="1"/>
    <col min="28" max="28" width="1.57421875" style="0" customWidth="1"/>
    <col min="29" max="29" width="2.7109375" style="0" customWidth="1"/>
    <col min="30" max="30" width="11.7109375" style="0" customWidth="1"/>
    <col min="31" max="31" width="4.140625" style="0" customWidth="1"/>
    <col min="32" max="32" width="1.57421875" style="0" customWidth="1"/>
    <col min="33" max="33" width="4.140625" style="0" customWidth="1"/>
    <col min="34" max="34" width="3.7109375" style="0" customWidth="1"/>
    <col min="35" max="35" width="13.7109375" style="0" customWidth="1"/>
    <col min="36" max="36" width="1.57421875" style="0" customWidth="1"/>
    <col min="37" max="37" width="2.7109375" style="0" customWidth="1"/>
    <col min="38" max="38" width="11.7109375" style="0" customWidth="1"/>
    <col min="39" max="39" width="4.140625" style="0" customWidth="1"/>
    <col min="40" max="40" width="1.57421875" style="0" customWidth="1"/>
    <col min="41" max="41" width="4.140625" style="0" customWidth="1"/>
    <col min="43" max="63" width="10.7109375" style="1" hidden="1" customWidth="1"/>
    <col min="64" max="69" width="4.7109375" style="1" hidden="1" customWidth="1"/>
  </cols>
  <sheetData>
    <row r="1" spans="2:42" ht="23.25">
      <c r="B1" s="179" t="s">
        <v>50</v>
      </c>
      <c r="C1" s="179"/>
      <c r="D1" s="180" t="str">
        <f>BQ196&amp;"."</f>
        <v>1.</v>
      </c>
      <c r="E1" s="180"/>
      <c r="F1" s="86" t="s">
        <v>51</v>
      </c>
      <c r="G1" s="191"/>
      <c r="H1" s="190"/>
      <c r="I1" s="76"/>
      <c r="J1" s="75" t="str">
        <f>Eingabe!$G$3</f>
        <v>z. B. Monatsblitzturnier</v>
      </c>
      <c r="K1" s="76"/>
      <c r="L1" s="76"/>
      <c r="M1" s="77"/>
      <c r="N1" s="77"/>
      <c r="O1" s="76"/>
      <c r="P1" s="77"/>
      <c r="Q1" s="77"/>
      <c r="R1" s="77"/>
      <c r="S1" s="77"/>
      <c r="T1" s="77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K1" s="36" t="s">
        <v>22</v>
      </c>
      <c r="AL1" s="84" t="str">
        <f>Eingabe!G2</f>
        <v>??.??.????</v>
      </c>
      <c r="AM1" s="12"/>
      <c r="AN1" s="15"/>
      <c r="AO1" s="15"/>
      <c r="AP1" s="15"/>
    </row>
    <row r="3" spans="2:42" ht="13.5" thickBot="1">
      <c r="B3" s="18" t="str">
        <f>BK7</f>
        <v>Spieler 1</v>
      </c>
      <c r="C3" s="12"/>
      <c r="D3" s="16"/>
      <c r="E3" s="12"/>
      <c r="F3" s="16" t="str">
        <f>BK8</f>
        <v>Spieler 2</v>
      </c>
      <c r="G3" s="16"/>
      <c r="H3" s="16"/>
      <c r="I3" s="16"/>
      <c r="J3" s="16" t="str">
        <f>BK9</f>
        <v>Spieler 3</v>
      </c>
      <c r="K3" s="12"/>
      <c r="L3" s="16"/>
      <c r="M3" s="12"/>
      <c r="N3" s="16" t="str">
        <f>BK10</f>
        <v>Spieler 4</v>
      </c>
      <c r="O3" s="16"/>
      <c r="P3" s="16"/>
      <c r="Q3" s="16"/>
      <c r="R3" s="16" t="str">
        <f>BK11</f>
        <v>Spieler 5</v>
      </c>
      <c r="S3" s="12"/>
      <c r="T3" s="16"/>
      <c r="U3" s="12"/>
      <c r="V3" s="16" t="str">
        <f>BK12</f>
        <v>Spieler 6</v>
      </c>
      <c r="W3" s="16"/>
      <c r="X3" s="16"/>
      <c r="Y3" s="16"/>
      <c r="Z3" s="16" t="str">
        <f>BK13</f>
        <v>Spieler 7</v>
      </c>
      <c r="AA3" s="12"/>
      <c r="AB3" s="16"/>
      <c r="AC3" s="12"/>
      <c r="AD3" s="16" t="str">
        <f>BK14</f>
        <v>Spieler 8</v>
      </c>
      <c r="AE3" s="16"/>
      <c r="AF3" s="16"/>
      <c r="AG3" s="16"/>
      <c r="AH3" s="16" t="str">
        <f>BK15</f>
        <v>Spieler 9</v>
      </c>
      <c r="AI3" s="12"/>
      <c r="AJ3" s="16"/>
      <c r="AK3" s="12"/>
      <c r="AL3" s="16" t="str">
        <f>BK16</f>
        <v>Spieler 10</v>
      </c>
      <c r="AM3" s="16"/>
      <c r="AN3" s="16"/>
      <c r="AO3" s="18"/>
      <c r="AP3" s="2"/>
    </row>
    <row r="4" spans="2:67" ht="12.75">
      <c r="B4" s="181" t="str">
        <f>IF($B$7="spielfrei","",BK6)</f>
        <v>Weiß</v>
      </c>
      <c r="C4" s="182" t="str">
        <f>IF($F$7="spielfrei","","Tisch 1")</f>
        <v>Tisch 1</v>
      </c>
      <c r="D4" s="182" t="str">
        <f>IF($F$7="spielfrei","","Tisch 1")</f>
        <v>Tisch 1</v>
      </c>
      <c r="E4" s="183" t="str">
        <f>IF($F$7="spielfrei","","Tisch 1")</f>
        <v>Tisch 1</v>
      </c>
      <c r="F4" s="181" t="s">
        <v>52</v>
      </c>
      <c r="G4" s="182"/>
      <c r="H4" s="182"/>
      <c r="I4" s="183"/>
      <c r="J4" s="181" t="s">
        <v>53</v>
      </c>
      <c r="K4" s="182"/>
      <c r="L4" s="182"/>
      <c r="M4" s="183"/>
      <c r="N4" s="181" t="s">
        <v>52</v>
      </c>
      <c r="O4" s="182"/>
      <c r="P4" s="182"/>
      <c r="Q4" s="183"/>
      <c r="R4" s="181" t="s">
        <v>53</v>
      </c>
      <c r="S4" s="182"/>
      <c r="T4" s="182"/>
      <c r="U4" s="183"/>
      <c r="V4" s="181" t="s">
        <v>52</v>
      </c>
      <c r="W4" s="182"/>
      <c r="X4" s="182"/>
      <c r="Y4" s="183"/>
      <c r="Z4" s="181" t="s">
        <v>53</v>
      </c>
      <c r="AA4" s="182"/>
      <c r="AB4" s="182"/>
      <c r="AC4" s="183"/>
      <c r="AD4" s="181" t="s">
        <v>52</v>
      </c>
      <c r="AE4" s="182"/>
      <c r="AF4" s="182"/>
      <c r="AG4" s="183"/>
      <c r="AH4" s="181" t="s">
        <v>53</v>
      </c>
      <c r="AI4" s="182"/>
      <c r="AJ4" s="182"/>
      <c r="AK4" s="183"/>
      <c r="AL4" s="181" t="s">
        <v>52</v>
      </c>
      <c r="AM4" s="182"/>
      <c r="AN4" s="182"/>
      <c r="AO4" s="183"/>
      <c r="AP4" s="2"/>
      <c r="AQ4" s="1" t="s">
        <v>48</v>
      </c>
      <c r="AR4" s="1" t="s">
        <v>23</v>
      </c>
      <c r="AS4" s="1" t="s">
        <v>24</v>
      </c>
      <c r="AT4" s="1" t="s">
        <v>25</v>
      </c>
      <c r="AU4" s="1" t="s">
        <v>26</v>
      </c>
      <c r="AV4" s="1" t="s">
        <v>27</v>
      </c>
      <c r="AW4" s="1" t="s">
        <v>30</v>
      </c>
      <c r="AX4" s="1" t="s">
        <v>31</v>
      </c>
      <c r="AY4" s="1" t="s">
        <v>32</v>
      </c>
      <c r="AZ4" s="1" t="s">
        <v>33</v>
      </c>
      <c r="BA4" s="1" t="s">
        <v>34</v>
      </c>
      <c r="BB4" s="1" t="s">
        <v>35</v>
      </c>
      <c r="BC4" s="1" t="s">
        <v>36</v>
      </c>
      <c r="BD4" s="1" t="s">
        <v>37</v>
      </c>
      <c r="BE4" s="1" t="s">
        <v>38</v>
      </c>
      <c r="BF4" s="1" t="s">
        <v>39</v>
      </c>
      <c r="BG4" s="1" t="s">
        <v>40</v>
      </c>
      <c r="BH4" s="1" t="s">
        <v>41</v>
      </c>
      <c r="BI4" s="1" t="s">
        <v>42</v>
      </c>
      <c r="BJ4" s="1" t="s">
        <v>43</v>
      </c>
      <c r="BK4" s="1" t="s">
        <v>54</v>
      </c>
      <c r="BM4" s="1">
        <f>IF($E$12="spielfrei",COUNT($G$13:$G$21,$O$13:$O$21,$W$13:$W$21,$G$27:$G$35,$O$27:$O$35,$W$27:$W$35,$G$41:$G$49,$O$41:$O$49,$W$41:$W$49,$G$55:$G$63,$AE$13:$AE$21,$AE$27:$AE$35,$AE$41:$AE$49,$O$55:$O$63,$AM$13:$AM$21,$AM$27:$AM$35,$AM$41:$AM$49,$W$55:$W$63,$AE$55:$AE$63),-1)</f>
        <v>-1</v>
      </c>
      <c r="BO4" s="1">
        <f>IF($E$12="spielfrei",-1,COUNT($G$12:$G$21,$O$12:$O$21,$W$12:$W$21,$G$26:$G$35,$O$26:$O$35,$W$26:$W$35,$G$40:$G$49,$O$40:$O$49,$W$40:$W$49,$G$54:$G$63,$AE$12:$AE$21,$AE$26:$AE$35,$AE$40:$AE$49,$O$54:$O$63,$AM$12:$AM$21,$AM$26:$AM$35,$AM$40:$AM$49,$W$54:$W$63,$AE$54:$AE$63))</f>
        <v>0</v>
      </c>
    </row>
    <row r="5" spans="2:69" ht="12.75">
      <c r="B5" s="68" t="str">
        <f>IF($B$7="spielfrei","","Tisch 1")</f>
        <v>Tisch 1</v>
      </c>
      <c r="C5" s="69"/>
      <c r="D5" s="69"/>
      <c r="E5" s="70"/>
      <c r="F5" s="68" t="str">
        <f>IF($B$7="spielfrei","Tisch 1","Tisch 2")</f>
        <v>Tisch 2</v>
      </c>
      <c r="G5" s="17"/>
      <c r="H5" s="35"/>
      <c r="I5" s="85"/>
      <c r="J5" s="68" t="str">
        <f>IF($B$7="spielfrei","Tisch 2","Tisch 3")</f>
        <v>Tisch 3</v>
      </c>
      <c r="K5" s="69"/>
      <c r="L5" s="69"/>
      <c r="M5" s="70"/>
      <c r="N5" s="68" t="str">
        <f>IF($B$7="spielfrei","Tisch 3","Tisch 4")</f>
        <v>Tisch 4</v>
      </c>
      <c r="O5" s="17"/>
      <c r="P5" s="35"/>
      <c r="Q5" s="87"/>
      <c r="R5" s="68" t="str">
        <f>IF($B$7="spielfrei","Tisch 4","Tisch 5")</f>
        <v>Tisch 5</v>
      </c>
      <c r="S5" s="17"/>
      <c r="T5" s="35"/>
      <c r="U5" s="87"/>
      <c r="V5" s="68" t="str">
        <f>IF($B$7="spielfrei","Tisch 5","Tisch 6")</f>
        <v>Tisch 6</v>
      </c>
      <c r="W5" s="17"/>
      <c r="X5" s="35"/>
      <c r="Y5" s="87"/>
      <c r="Z5" s="68" t="str">
        <f>IF($B$7="spielfrei","Tisch 6","Tisch 7")</f>
        <v>Tisch 7</v>
      </c>
      <c r="AA5" s="17"/>
      <c r="AB5" s="35"/>
      <c r="AC5" s="87"/>
      <c r="AD5" s="68" t="str">
        <f>IF($B$7="spielfrei","Tisch 7","Tisch 8")</f>
        <v>Tisch 8</v>
      </c>
      <c r="AE5" s="69"/>
      <c r="AF5" s="69"/>
      <c r="AG5" s="70"/>
      <c r="AH5" s="68" t="str">
        <f>IF($B$7="spielfrei","Tisch 8","Tisch 9")</f>
        <v>Tisch 9</v>
      </c>
      <c r="AI5" s="17"/>
      <c r="AJ5" s="35"/>
      <c r="AK5" s="87"/>
      <c r="AL5" s="68" t="str">
        <f>IF($B$7="spielfrei","Tisch 9","Tisch 10")</f>
        <v>Tisch 10</v>
      </c>
      <c r="AM5" s="69"/>
      <c r="AN5" s="69"/>
      <c r="AO5" s="70"/>
      <c r="AP5" s="2"/>
      <c r="BM5" s="1">
        <f>IF($BM$4=BQ5,BN5,0)</f>
        <v>0</v>
      </c>
      <c r="BN5" s="1">
        <v>1</v>
      </c>
      <c r="BO5" s="1">
        <f>IF($BO$4=BQ5,BP5,0)</f>
        <v>1</v>
      </c>
      <c r="BP5" s="1">
        <v>1</v>
      </c>
      <c r="BQ5" s="1">
        <v>0</v>
      </c>
    </row>
    <row r="6" spans="2:69" ht="13.5" thickBot="1">
      <c r="B6" s="184" t="str">
        <f>IF($B$7="spielfrei","",IF(B4="Weiß","Schwarz",IF(B4="Schwarz","Weiß")))</f>
        <v>Schwarz</v>
      </c>
      <c r="C6" s="185"/>
      <c r="D6" s="185"/>
      <c r="E6" s="186"/>
      <c r="F6" s="184" t="s">
        <v>53</v>
      </c>
      <c r="G6" s="185"/>
      <c r="H6" s="185"/>
      <c r="I6" s="186"/>
      <c r="J6" s="184" t="s">
        <v>52</v>
      </c>
      <c r="K6" s="185"/>
      <c r="L6" s="185"/>
      <c r="M6" s="186"/>
      <c r="N6" s="184" t="s">
        <v>53</v>
      </c>
      <c r="O6" s="185"/>
      <c r="P6" s="185"/>
      <c r="Q6" s="186"/>
      <c r="R6" s="184" t="s">
        <v>52</v>
      </c>
      <c r="S6" s="185"/>
      <c r="T6" s="185"/>
      <c r="U6" s="186"/>
      <c r="V6" s="184" t="s">
        <v>53</v>
      </c>
      <c r="W6" s="185"/>
      <c r="X6" s="185"/>
      <c r="Y6" s="186"/>
      <c r="Z6" s="184" t="s">
        <v>52</v>
      </c>
      <c r="AA6" s="185"/>
      <c r="AB6" s="185"/>
      <c r="AC6" s="186"/>
      <c r="AD6" s="184" t="s">
        <v>53</v>
      </c>
      <c r="AE6" s="185"/>
      <c r="AF6" s="185"/>
      <c r="AG6" s="186"/>
      <c r="AH6" s="184" t="s">
        <v>52</v>
      </c>
      <c r="AI6" s="185"/>
      <c r="AJ6" s="185"/>
      <c r="AK6" s="186"/>
      <c r="AL6" s="184" t="s">
        <v>53</v>
      </c>
      <c r="AM6" s="185"/>
      <c r="AN6" s="185"/>
      <c r="AO6" s="186"/>
      <c r="AP6" s="2"/>
      <c r="AR6" s="1" t="str">
        <f>IF($BQ$196=1,"Weiß","")</f>
        <v>Weiß</v>
      </c>
      <c r="AS6" s="1">
        <f>IF($BQ$196=2,"Schwarz","")</f>
      </c>
      <c r="AT6" s="1">
        <f>IF($BQ$196=3,"Weiß","")</f>
      </c>
      <c r="AU6" s="1">
        <f>IF($BQ$196=4,"Schwarz","")</f>
      </c>
      <c r="AV6" s="1">
        <f>IF($BQ$196=5,"Weiß","")</f>
      </c>
      <c r="AW6" s="1">
        <f>IF($BQ$196=6,"Schwarz","")</f>
      </c>
      <c r="AX6" s="1">
        <f>IF($BQ$196=7,"Weiß","")</f>
      </c>
      <c r="AY6" s="1">
        <f>IF($BQ$196=8,"Schwarz","")</f>
      </c>
      <c r="AZ6" s="1">
        <f>IF($BQ$196=9,"Weiß","")</f>
      </c>
      <c r="BA6" s="1">
        <f>IF($BQ$196=10,"Schwarz","")</f>
      </c>
      <c r="BB6" s="1">
        <f>IF($BQ$196=11,"Weiß","")</f>
      </c>
      <c r="BC6" s="1">
        <f>IF($BQ$196=12,"Schwarz","")</f>
      </c>
      <c r="BD6" s="1">
        <f>IF($BQ$196=13,"Weiß","")</f>
      </c>
      <c r="BE6" s="1">
        <f>IF($BQ$196=14,"Schwarz","")</f>
      </c>
      <c r="BF6" s="1">
        <f>IF($BQ$196=15,"Weiß","")</f>
      </c>
      <c r="BG6" s="1">
        <f>IF($BQ$196=16,"Schwarz","")</f>
      </c>
      <c r="BH6" s="1">
        <f>IF($BQ$196=17,"Weiß","")</f>
      </c>
      <c r="BI6" s="1">
        <f>IF($BQ$196=18,"Schwarz","")</f>
      </c>
      <c r="BJ6" s="1">
        <f>IF($BQ$196=19,"Weiß","")</f>
      </c>
      <c r="BK6" s="1" t="str">
        <f>AR6&amp;AS6&amp;AT6&amp;AU6&amp;AV6&amp;AW6&amp;AX6&amp;AY6&amp;AZ6&amp;BA6&amp;BB6&amp;BC6&amp;BD6&amp;BE6&amp;BF6&amp;BG6&amp;BH6&amp;BI6&amp;BJ6</f>
        <v>Weiß</v>
      </c>
      <c r="BM6" s="1">
        <f aca="true" t="shared" si="0" ref="BM6:BM69">IF($BM$4=BQ6,BN6,0)</f>
        <v>0</v>
      </c>
      <c r="BN6" s="1">
        <v>1</v>
      </c>
      <c r="BO6" s="1">
        <f aca="true" t="shared" si="1" ref="BO6:BO69">IF($BO$4=BQ6,BP6,0)</f>
        <v>0</v>
      </c>
      <c r="BP6" s="1">
        <v>1</v>
      </c>
      <c r="BQ6" s="1">
        <v>1</v>
      </c>
    </row>
    <row r="7" spans="2:69" ht="12.75">
      <c r="B7" s="16" t="str">
        <f>BK26</f>
        <v>Spieler 20 / spielfrei</v>
      </c>
      <c r="C7" s="12"/>
      <c r="D7" s="12"/>
      <c r="E7" s="12"/>
      <c r="F7" s="16" t="str">
        <f>BK25</f>
        <v>Spieler 19</v>
      </c>
      <c r="G7" s="16"/>
      <c r="H7" s="16"/>
      <c r="I7" s="12"/>
      <c r="J7" s="16" t="str">
        <f>BK24</f>
        <v>Spieler 18</v>
      </c>
      <c r="K7" s="12"/>
      <c r="L7" s="12"/>
      <c r="M7" s="12"/>
      <c r="N7" s="16" t="str">
        <f>BK23</f>
        <v>Spieler 17</v>
      </c>
      <c r="O7" s="16"/>
      <c r="P7" s="16"/>
      <c r="Q7" s="12"/>
      <c r="R7" s="16" t="str">
        <f>BK22</f>
        <v>Spieler 16</v>
      </c>
      <c r="S7" s="12"/>
      <c r="T7" s="12"/>
      <c r="U7" s="12"/>
      <c r="V7" s="16" t="str">
        <f>BK21</f>
        <v>Spieler 15</v>
      </c>
      <c r="W7" s="16"/>
      <c r="X7" s="16"/>
      <c r="Y7" s="12"/>
      <c r="Z7" s="16" t="str">
        <f>BK20</f>
        <v>Spieler 14</v>
      </c>
      <c r="AA7" s="12"/>
      <c r="AB7" s="12"/>
      <c r="AC7" s="12"/>
      <c r="AD7" s="16" t="str">
        <f>BK19</f>
        <v>Spieler 13</v>
      </c>
      <c r="AE7" s="16"/>
      <c r="AF7" s="16"/>
      <c r="AG7" s="12"/>
      <c r="AH7" s="16" t="str">
        <f>BK18</f>
        <v>Spieler 12</v>
      </c>
      <c r="AI7" s="12"/>
      <c r="AJ7" s="12"/>
      <c r="AK7" s="12"/>
      <c r="AL7" s="16" t="str">
        <f>BK17</f>
        <v>Spieler 11</v>
      </c>
      <c r="AM7" s="16"/>
      <c r="AN7" s="16"/>
      <c r="AO7" s="17"/>
      <c r="AP7" s="2"/>
      <c r="AQ7" s="1">
        <v>1</v>
      </c>
      <c r="AR7" s="1" t="str">
        <f>IF($BQ$196=1,Eingabe!$C$6,"")</f>
        <v>Spieler 1</v>
      </c>
      <c r="AS7" s="1">
        <f>IF($BQ$196=2,Eingabe!$G$14,"")</f>
      </c>
      <c r="AT7" s="1">
        <f>IF($BQ$196=3,Eingabe!$G$13,"")</f>
      </c>
      <c r="AU7" s="1">
        <f>IF($BQ$196=4,Eingabe!$G$12,"")</f>
      </c>
      <c r="AV7" s="1">
        <f>IF($BQ$196=5,Eingabe!$G$11,"")</f>
      </c>
      <c r="AW7" s="1">
        <f>IF($BQ$196=6,Eingabe!$G$10,"")</f>
      </c>
      <c r="AX7" s="1">
        <f>IF($BQ$196=7,Eingabe!$G$9,"")</f>
      </c>
      <c r="AY7" s="1">
        <f>IF($BQ$196=8,Eingabe!$G$8,"")</f>
      </c>
      <c r="AZ7" s="1">
        <f>IF($BQ$196=9,Eingabe!$G$7,"")</f>
      </c>
      <c r="BA7" s="1">
        <f>IF($BQ$196=10,Eingabe!$G$6,"")</f>
      </c>
      <c r="BB7" s="1">
        <f>IF($BQ$196=11,Eingabe!$C$15,"")</f>
      </c>
      <c r="BC7" s="1">
        <f>IF($BQ$196=12,Eingabe!$C$14,"")</f>
      </c>
      <c r="BD7" s="1">
        <f>IF($BQ$196=13,Eingabe!$C$13,"")</f>
      </c>
      <c r="BE7" s="1">
        <f>IF($BQ$196=14,Eingabe!$C$12,"")</f>
      </c>
      <c r="BF7" s="1">
        <f>IF($BQ$196=15,Eingabe!$C$11,"")</f>
      </c>
      <c r="BG7" s="1">
        <f>IF($BQ$196=16,Eingabe!$C$10,"")</f>
      </c>
      <c r="BH7" s="1">
        <f>IF($BQ$196=17,Eingabe!$C$9,"")</f>
      </c>
      <c r="BI7" s="1">
        <f>IF($BQ$196=18,Eingabe!$C$8,"")</f>
      </c>
      <c r="BJ7" s="1">
        <f>IF($BQ$196=19,Eingabe!$C$7,"")</f>
      </c>
      <c r="BK7" s="1" t="str">
        <f aca="true" t="shared" si="2" ref="BK7:BK26">AR7&amp;AS7&amp;AT7&amp;AU7&amp;AV7&amp;AW7&amp;AX7&amp;AY7&amp;AZ7&amp;BA7&amp;BB7&amp;BC7&amp;BD7&amp;BE7&amp;BF7&amp;BG7&amp;BH7&amp;BI7&amp;BJ7</f>
        <v>Spieler 1</v>
      </c>
      <c r="BM7" s="1">
        <f t="shared" si="0"/>
        <v>0</v>
      </c>
      <c r="BN7" s="1">
        <v>1</v>
      </c>
      <c r="BO7" s="1">
        <f t="shared" si="1"/>
        <v>0</v>
      </c>
      <c r="BP7" s="1">
        <v>1</v>
      </c>
      <c r="BQ7" s="1">
        <v>2</v>
      </c>
    </row>
    <row r="8" spans="2:69" ht="12.75">
      <c r="B8" s="178" t="s">
        <v>61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Q8" s="1">
        <v>2</v>
      </c>
      <c r="AR8" s="1" t="str">
        <f>IF($BQ$196=1,Eingabe!$C$7,"")</f>
        <v>Spieler 2</v>
      </c>
      <c r="AS8" s="1">
        <f>IF($BQ$196=2,Eingabe!$C$6,"")</f>
      </c>
      <c r="AT8" s="1">
        <f>IF($BQ$196=3,Eingabe!$G$14,"")</f>
      </c>
      <c r="AU8" s="1">
        <f>IF($BQ$196=4,Eingabe!$G$13,"")</f>
      </c>
      <c r="AV8" s="1">
        <f>IF($BQ$196=5,Eingabe!$G$12,"")</f>
      </c>
      <c r="AW8" s="1">
        <f>IF($BQ$196=6,Eingabe!$G$11,"")</f>
      </c>
      <c r="AX8" s="1">
        <f>IF($BQ$196=7,Eingabe!$G$10,"")</f>
      </c>
      <c r="AY8" s="1">
        <f>IF($BQ$196=8,Eingabe!$G$9,"")</f>
      </c>
      <c r="AZ8" s="1">
        <f>IF($BQ$196=9,Eingabe!$G$8,"")</f>
      </c>
      <c r="BA8" s="1">
        <f>IF($BQ$196=10,Eingabe!$G$7,"")</f>
      </c>
      <c r="BB8" s="1">
        <f>IF($BQ$196=11,Eingabe!$G$6,"")</f>
      </c>
      <c r="BC8" s="1">
        <f>IF($BQ$196=12,Eingabe!$C$15,"")</f>
      </c>
      <c r="BD8" s="1">
        <f>IF($BQ$196=13,Eingabe!$C$14,"")</f>
      </c>
      <c r="BE8" s="1">
        <f>IF($BQ$196=14,Eingabe!$C$13,"")</f>
      </c>
      <c r="BF8" s="1">
        <f>IF($BQ$196=15,Eingabe!$C$12,"")</f>
      </c>
      <c r="BG8" s="1">
        <f>IF($BQ$196=16,Eingabe!$C$11,"")</f>
      </c>
      <c r="BH8" s="1">
        <f>IF($BQ$196=17,Eingabe!$C$10,"")</f>
      </c>
      <c r="BI8" s="1">
        <f>IF($BQ$196=18,Eingabe!$C$9,"")</f>
      </c>
      <c r="BJ8" s="1">
        <f>IF($BQ$196=19,Eingabe!$C$8,"")</f>
      </c>
      <c r="BK8" s="1" t="str">
        <f t="shared" si="2"/>
        <v>Spieler 2</v>
      </c>
      <c r="BM8" s="1">
        <f t="shared" si="0"/>
        <v>0</v>
      </c>
      <c r="BN8" s="1">
        <v>1</v>
      </c>
      <c r="BO8" s="1">
        <f t="shared" si="1"/>
        <v>0</v>
      </c>
      <c r="BP8" s="1">
        <v>1</v>
      </c>
      <c r="BQ8" s="1">
        <v>3</v>
      </c>
    </row>
    <row r="9" spans="1:69" ht="12.7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Q9" s="1">
        <v>3</v>
      </c>
      <c r="AR9" s="1" t="str">
        <f>IF($BQ$196=1,Eingabe!$C$8,"")</f>
        <v>Spieler 3</v>
      </c>
      <c r="AS9" s="1">
        <f>IF($BQ$196=2,Eingabe!$C$7,"")</f>
      </c>
      <c r="AT9" s="1">
        <f>IF($BQ$196=3,Eingabe!$C$6,"")</f>
      </c>
      <c r="AU9" s="1">
        <f>IF($BQ$196=4,Eingabe!$G$14,"")</f>
      </c>
      <c r="AV9" s="1">
        <f>IF($BQ$196=5,Eingabe!$G$13,"")</f>
      </c>
      <c r="AW9" s="1">
        <f>IF($BQ$196=6,Eingabe!$G$12,"")</f>
      </c>
      <c r="AX9" s="1">
        <f>IF($BQ$196=7,Eingabe!$G$11,"")</f>
      </c>
      <c r="AY9" s="1">
        <f>IF($BQ$196=8,Eingabe!$G$10,"")</f>
      </c>
      <c r="AZ9" s="1">
        <f>IF($BQ$196=9,Eingabe!$G$9,"")</f>
      </c>
      <c r="BA9" s="1">
        <f>IF($BQ$196=10,Eingabe!$G$8,"")</f>
      </c>
      <c r="BB9" s="1">
        <f>IF($BQ$196=11,Eingabe!$G$7,"")</f>
      </c>
      <c r="BC9" s="1">
        <f>IF($BQ$196=12,Eingabe!$G$6,"")</f>
      </c>
      <c r="BD9" s="1">
        <f>IF($BQ$196=13,Eingabe!$C$15,"")</f>
      </c>
      <c r="BE9" s="1">
        <f>IF($BQ$196=14,Eingabe!$C$14,"")</f>
      </c>
      <c r="BF9" s="1">
        <f>IF($BQ$196=15,Eingabe!$C$13,"")</f>
      </c>
      <c r="BG9" s="1">
        <f>IF($BQ$196=16,Eingabe!$C$12,"")</f>
      </c>
      <c r="BH9" s="1">
        <f>IF($BQ$196=17,Eingabe!$C$11,"")</f>
      </c>
      <c r="BI9" s="1">
        <f>IF($BQ$196=18,Eingabe!$C$10,"")</f>
      </c>
      <c r="BJ9" s="1">
        <f>IF($BQ$196=19,Eingabe!$C$9,"")</f>
      </c>
      <c r="BK9" s="1" t="str">
        <f t="shared" si="2"/>
        <v>Spieler 3</v>
      </c>
      <c r="BM9" s="1">
        <f t="shared" si="0"/>
        <v>0</v>
      </c>
      <c r="BN9" s="1">
        <v>1</v>
      </c>
      <c r="BO9" s="1">
        <f t="shared" si="1"/>
        <v>0</v>
      </c>
      <c r="BP9" s="1">
        <v>1</v>
      </c>
      <c r="BQ9" s="1">
        <v>4</v>
      </c>
    </row>
    <row r="10" spans="4:69" ht="12.75">
      <c r="D10" s="11" t="s">
        <v>23</v>
      </c>
      <c r="L10" s="11" t="s">
        <v>24</v>
      </c>
      <c r="T10" s="11" t="s">
        <v>25</v>
      </c>
      <c r="AB10" s="11" t="s">
        <v>26</v>
      </c>
      <c r="AJ10" s="11" t="s">
        <v>27</v>
      </c>
      <c r="AQ10" s="1">
        <v>4</v>
      </c>
      <c r="AR10" s="1" t="str">
        <f>IF($BQ$196=1,Eingabe!$C$9,"")</f>
        <v>Spieler 4</v>
      </c>
      <c r="AS10" s="1">
        <f>IF($BQ$196=2,Eingabe!$C$8,"")</f>
      </c>
      <c r="AT10" s="1">
        <f>IF($BQ$196=3,Eingabe!$C$7,"")</f>
      </c>
      <c r="AU10" s="1">
        <f>IF($BQ$196=4,Eingabe!$C$6,"")</f>
      </c>
      <c r="AV10" s="1">
        <f>IF($BQ$196=5,Eingabe!$G$14,"")</f>
      </c>
      <c r="AW10" s="1">
        <f>IF($BQ$196=6,Eingabe!$G$13,"")</f>
      </c>
      <c r="AX10" s="1">
        <f>IF($BQ$196=7,Eingabe!$G$12,"")</f>
      </c>
      <c r="AY10" s="1">
        <f>IF($BQ$196=8,Eingabe!$G$11,"")</f>
      </c>
      <c r="AZ10" s="1">
        <f>IF($BQ$196=9,Eingabe!$G$10,"")</f>
      </c>
      <c r="BA10" s="1">
        <f>IF($BQ$196=10,Eingabe!$G$9,"")</f>
      </c>
      <c r="BB10" s="1">
        <f>IF($BQ$196=11,Eingabe!$G$8,"")</f>
      </c>
      <c r="BC10" s="1">
        <f>IF($BQ$196=12,Eingabe!$G$7,"")</f>
      </c>
      <c r="BD10" s="1">
        <f>IF($BQ$196=13,Eingabe!$G$6,"")</f>
      </c>
      <c r="BE10" s="1">
        <f>IF($BQ$196=14,Eingabe!$C$15,"")</f>
      </c>
      <c r="BF10" s="1">
        <f>IF($BQ$196=15,Eingabe!$C$14,"")</f>
      </c>
      <c r="BG10" s="1">
        <f>IF($BQ$196=16,Eingabe!$C$13,"")</f>
      </c>
      <c r="BH10" s="1">
        <f>IF($BQ$196=17,Eingabe!$C$12,"")</f>
      </c>
      <c r="BI10" s="1">
        <f>IF($BQ$196=18,Eingabe!$C$11,"")</f>
      </c>
      <c r="BJ10" s="1">
        <f>IF($BQ$196=19,Eingabe!$C$10,"")</f>
      </c>
      <c r="BK10" s="1" t="str">
        <f t="shared" si="2"/>
        <v>Spieler 4</v>
      </c>
      <c r="BM10" s="1">
        <f t="shared" si="0"/>
        <v>0</v>
      </c>
      <c r="BN10" s="1">
        <v>1</v>
      </c>
      <c r="BO10" s="1">
        <f t="shared" si="1"/>
        <v>0</v>
      </c>
      <c r="BP10" s="1">
        <v>1</v>
      </c>
      <c r="BQ10" s="1">
        <v>5</v>
      </c>
    </row>
    <row r="11" spans="3:69" ht="6" customHeight="1">
      <c r="C11" s="11"/>
      <c r="K11" s="11"/>
      <c r="S11" s="11"/>
      <c r="AA11" s="11"/>
      <c r="AI11" s="13"/>
      <c r="AQ11" s="1">
        <v>5</v>
      </c>
      <c r="AR11" s="1" t="str">
        <f>IF($BQ$196=1,Eingabe!$C$10,"")</f>
        <v>Spieler 5</v>
      </c>
      <c r="AS11" s="1">
        <f>IF($BQ$196=2,Eingabe!$C$9,"")</f>
      </c>
      <c r="AT11" s="1">
        <f>IF($BQ$196=3,Eingabe!$C$8,"")</f>
      </c>
      <c r="AU11" s="1">
        <f>IF($BQ$196=4,Eingabe!$C$7,"")</f>
      </c>
      <c r="AV11" s="1">
        <f>IF($BQ$196=5,Eingabe!$C$6,"")</f>
      </c>
      <c r="AW11" s="1">
        <f>IF($BQ$196=6,Eingabe!$G$14,"")</f>
      </c>
      <c r="AX11" s="1">
        <f>IF($BQ$196=7,Eingabe!$G$13,"")</f>
      </c>
      <c r="AY11" s="1">
        <f>IF($BQ$196=8,Eingabe!$G$12,"")</f>
      </c>
      <c r="AZ11" s="1">
        <f>IF($BQ$196=9,Eingabe!$G$11,"")</f>
      </c>
      <c r="BA11" s="1">
        <f>IF($BQ$196=10,Eingabe!$G$10,"")</f>
      </c>
      <c r="BB11" s="1">
        <f>IF($BQ$196=11,Eingabe!$G$9,"")</f>
      </c>
      <c r="BC11" s="1">
        <f>IF($BQ$196=12,Eingabe!$G$8,"")</f>
      </c>
      <c r="BD11" s="1">
        <f>IF($BQ$196=13,Eingabe!$G$7,"")</f>
      </c>
      <c r="BE11" s="1">
        <f>IF($BQ$196=14,Eingabe!$G$6,"")</f>
      </c>
      <c r="BF11" s="1">
        <f>IF($BQ$196=15,Eingabe!$C$15,"")</f>
      </c>
      <c r="BG11" s="1">
        <f>IF($BQ$196=16,Eingabe!$C$14,"")</f>
      </c>
      <c r="BH11" s="1">
        <f>IF($BQ$196=17,Eingabe!$C$13,"")</f>
      </c>
      <c r="BI11" s="1">
        <f>IF($BQ$196=18,Eingabe!$C$12,"")</f>
      </c>
      <c r="BJ11" s="1">
        <f>IF($BQ$196=19,Eingabe!$C$11,"")</f>
      </c>
      <c r="BK11" s="1" t="str">
        <f t="shared" si="2"/>
        <v>Spieler 5</v>
      </c>
      <c r="BM11" s="1">
        <f t="shared" si="0"/>
        <v>0</v>
      </c>
      <c r="BN11" s="1">
        <v>1</v>
      </c>
      <c r="BO11" s="1">
        <f t="shared" si="1"/>
        <v>0</v>
      </c>
      <c r="BP11" s="1">
        <v>1</v>
      </c>
      <c r="BQ11" s="1">
        <v>6</v>
      </c>
    </row>
    <row r="12" spans="1:69" ht="12.75">
      <c r="A12" t="str">
        <f>IF(Eingabe!$G$15="spielfrei","","Tisch 1 :")</f>
        <v>Tisch 1 :</v>
      </c>
      <c r="C12" s="15" t="str">
        <f>Eingabe!$C$6</f>
        <v>Spieler 1</v>
      </c>
      <c r="D12" s="1" t="s">
        <v>1</v>
      </c>
      <c r="E12" s="15" t="str">
        <f>Eingabe!$G$15</f>
        <v>Spieler 20 / spielfrei</v>
      </c>
      <c r="F12" s="15"/>
      <c r="G12" s="1" t="s">
        <v>28</v>
      </c>
      <c r="H12" s="1" t="str">
        <f>IF($B$7="spielfrei"," ",":")</f>
        <v>:</v>
      </c>
      <c r="I12" s="5" t="str">
        <f aca="true" t="shared" si="3" ref="I12:I21">IF(G12&lt;=1,1-G12," ")</f>
        <v> </v>
      </c>
      <c r="J12" s="3"/>
      <c r="K12" s="15" t="str">
        <f>Eingabe!$G$14</f>
        <v>Spieler 19</v>
      </c>
      <c r="L12" s="1" t="s">
        <v>1</v>
      </c>
      <c r="M12" s="15" t="str">
        <f>Eingabe!$G$15</f>
        <v>Spieler 20 / spielfrei</v>
      </c>
      <c r="N12" s="15"/>
      <c r="O12" s="1" t="s">
        <v>28</v>
      </c>
      <c r="P12" s="1" t="str">
        <f>IF($B$7="spielfrei"," ",":")</f>
        <v>:</v>
      </c>
      <c r="Q12" s="5" t="str">
        <f aca="true" t="shared" si="4" ref="Q12:Q21">IF(O12&lt;=1,1-O12," ")</f>
        <v> </v>
      </c>
      <c r="R12" s="3"/>
      <c r="S12" s="15" t="str">
        <f>Eingabe!$G$13</f>
        <v>Spieler 18</v>
      </c>
      <c r="T12" s="1" t="s">
        <v>1</v>
      </c>
      <c r="U12" s="15" t="str">
        <f>Eingabe!$G$15</f>
        <v>Spieler 20 / spielfrei</v>
      </c>
      <c r="V12" s="15"/>
      <c r="W12" s="1" t="s">
        <v>28</v>
      </c>
      <c r="X12" s="1" t="str">
        <f>IF($B$7="spielfrei"," ",":")</f>
        <v>:</v>
      </c>
      <c r="Y12" s="5" t="str">
        <f aca="true" t="shared" si="5" ref="Y12:Y21">IF(W12&lt;=1,1-W12," ")</f>
        <v> </v>
      </c>
      <c r="Z12" s="3"/>
      <c r="AA12" s="15" t="str">
        <f>Eingabe!$G$12</f>
        <v>Spieler 17</v>
      </c>
      <c r="AB12" s="1" t="s">
        <v>1</v>
      </c>
      <c r="AC12" s="15" t="str">
        <f>Eingabe!$G$15</f>
        <v>Spieler 20 / spielfrei</v>
      </c>
      <c r="AD12" s="15"/>
      <c r="AE12" s="1" t="s">
        <v>28</v>
      </c>
      <c r="AF12" s="1" t="str">
        <f>IF($B$7="spielfrei"," ",":")</f>
        <v>:</v>
      </c>
      <c r="AG12" s="5" t="str">
        <f aca="true" t="shared" si="6" ref="AG12:AG21">IF(AE12&lt;=1,1-AE12," ")</f>
        <v> </v>
      </c>
      <c r="AH12" s="3"/>
      <c r="AI12" s="15" t="str">
        <f>Eingabe!$G$11</f>
        <v>Spieler 16</v>
      </c>
      <c r="AJ12" s="1" t="s">
        <v>1</v>
      </c>
      <c r="AK12" s="15" t="str">
        <f>Eingabe!$G$15</f>
        <v>Spieler 20 / spielfrei</v>
      </c>
      <c r="AL12" s="15"/>
      <c r="AM12" s="1" t="s">
        <v>28</v>
      </c>
      <c r="AN12" s="1" t="str">
        <f>IF($B$7="spielfrei"," ",":")</f>
        <v>:</v>
      </c>
      <c r="AO12" s="3" t="str">
        <f aca="true" t="shared" si="7" ref="AO12:AO21">IF(AM12&lt;=1,1-AM12," ")</f>
        <v> </v>
      </c>
      <c r="AP12" s="2"/>
      <c r="AQ12" s="1">
        <v>6</v>
      </c>
      <c r="AR12" s="1" t="str">
        <f>IF($BQ$196=1,Eingabe!$C$11,"")</f>
        <v>Spieler 6</v>
      </c>
      <c r="AS12" s="1">
        <f>IF($BQ$196=2,Eingabe!$C$10,"")</f>
      </c>
      <c r="AT12" s="1">
        <f>IF($BQ$196=3,Eingabe!$C$9,"")</f>
      </c>
      <c r="AU12" s="1">
        <f>IF($BQ$196=4,Eingabe!$C$8,"")</f>
      </c>
      <c r="AV12" s="1">
        <f>IF($BQ$196=5,Eingabe!$C$7,"")</f>
      </c>
      <c r="AW12" s="1">
        <f>IF($BQ$196=6,Eingabe!$C$6,"")</f>
      </c>
      <c r="AX12" s="1">
        <f>IF($BQ$196=7,Eingabe!$G$14,"")</f>
      </c>
      <c r="AY12" s="1">
        <f>IF($BQ$196=8,Eingabe!$G$13,"")</f>
      </c>
      <c r="AZ12" s="1">
        <f>IF($BQ$196=9,Eingabe!$G$12,"")</f>
      </c>
      <c r="BA12" s="1">
        <f>IF($BQ$196=10,Eingabe!$G$11,"")</f>
      </c>
      <c r="BB12" s="1">
        <f>IF($BQ$196=11,Eingabe!$G$10,"")</f>
      </c>
      <c r="BC12" s="1">
        <f>IF($BQ$196=12,Eingabe!$G$9,"")</f>
      </c>
      <c r="BD12" s="1">
        <f>IF($BQ$196=13,Eingabe!$G$8,"")</f>
      </c>
      <c r="BE12" s="1">
        <f>IF($BQ$196=14,Eingabe!$G$7,"")</f>
      </c>
      <c r="BF12" s="1">
        <f>IF($BQ$196=15,Eingabe!$G$6,"")</f>
      </c>
      <c r="BG12" s="1">
        <f>IF($BQ$196=16,Eingabe!$C$15,"")</f>
      </c>
      <c r="BH12" s="1">
        <f>IF($BQ$196=17,Eingabe!$C$14,"")</f>
      </c>
      <c r="BI12" s="1">
        <f>IF($BQ$196=18,Eingabe!$C$13,"")</f>
      </c>
      <c r="BJ12" s="1">
        <f>IF($BQ$196=19,Eingabe!$C$12,"")</f>
      </c>
      <c r="BK12" s="1" t="str">
        <f t="shared" si="2"/>
        <v>Spieler 6</v>
      </c>
      <c r="BM12" s="1">
        <f t="shared" si="0"/>
        <v>0</v>
      </c>
      <c r="BN12" s="1">
        <v>1</v>
      </c>
      <c r="BO12" s="1">
        <f t="shared" si="1"/>
        <v>0</v>
      </c>
      <c r="BP12" s="1">
        <v>1</v>
      </c>
      <c r="BQ12" s="1">
        <v>7</v>
      </c>
    </row>
    <row r="13" spans="1:69" ht="12.75">
      <c r="A13" t="str">
        <f>IF(Eingabe!$G$15="spielfrei","Tisch 1 :","Tisch 2 :")</f>
        <v>Tisch 2 :</v>
      </c>
      <c r="C13" s="15" t="str">
        <f>Eingabe!$G$14</f>
        <v>Spieler 19</v>
      </c>
      <c r="D13" s="1" t="s">
        <v>1</v>
      </c>
      <c r="E13" s="15" t="str">
        <f>Eingabe!$C$7</f>
        <v>Spieler 2</v>
      </c>
      <c r="F13" s="15"/>
      <c r="G13" s="1" t="s">
        <v>28</v>
      </c>
      <c r="H13" s="1" t="s">
        <v>1</v>
      </c>
      <c r="I13" s="5" t="str">
        <f t="shared" si="3"/>
        <v> </v>
      </c>
      <c r="J13" s="3"/>
      <c r="K13" s="15" t="str">
        <f>Eingabe!$G$13</f>
        <v>Spieler 18</v>
      </c>
      <c r="L13" s="1" t="s">
        <v>1</v>
      </c>
      <c r="M13" s="15" t="str">
        <f>Eingabe!$C$6</f>
        <v>Spieler 1</v>
      </c>
      <c r="N13" s="15"/>
      <c r="O13" s="1" t="s">
        <v>28</v>
      </c>
      <c r="P13" s="1" t="s">
        <v>1</v>
      </c>
      <c r="Q13" s="5" t="str">
        <f t="shared" si="4"/>
        <v> </v>
      </c>
      <c r="R13" s="3"/>
      <c r="S13" s="15" t="str">
        <f>Eingabe!$G$12</f>
        <v>Spieler 17</v>
      </c>
      <c r="T13" s="1" t="s">
        <v>1</v>
      </c>
      <c r="U13" s="15" t="str">
        <f>Eingabe!$G$14</f>
        <v>Spieler 19</v>
      </c>
      <c r="V13" s="15"/>
      <c r="W13" s="1" t="s">
        <v>28</v>
      </c>
      <c r="X13" s="1" t="s">
        <v>1</v>
      </c>
      <c r="Y13" s="5" t="str">
        <f t="shared" si="5"/>
        <v> </v>
      </c>
      <c r="Z13" s="3"/>
      <c r="AA13" s="15" t="str">
        <f>Eingabe!$G$11</f>
        <v>Spieler 16</v>
      </c>
      <c r="AB13" s="1" t="s">
        <v>1</v>
      </c>
      <c r="AC13" s="15" t="str">
        <f>Eingabe!$G$13</f>
        <v>Spieler 18</v>
      </c>
      <c r="AD13" s="15"/>
      <c r="AE13" s="1" t="s">
        <v>28</v>
      </c>
      <c r="AF13" s="1" t="s">
        <v>1</v>
      </c>
      <c r="AG13" s="5" t="str">
        <f t="shared" si="6"/>
        <v> </v>
      </c>
      <c r="AH13" s="3"/>
      <c r="AI13" s="15" t="str">
        <f>Eingabe!$G$10</f>
        <v>Spieler 15</v>
      </c>
      <c r="AJ13" s="1" t="s">
        <v>1</v>
      </c>
      <c r="AK13" s="15" t="str">
        <f>Eingabe!$G$12</f>
        <v>Spieler 17</v>
      </c>
      <c r="AL13" s="15"/>
      <c r="AM13" s="1" t="s">
        <v>28</v>
      </c>
      <c r="AN13" s="1" t="s">
        <v>1</v>
      </c>
      <c r="AO13" s="3" t="str">
        <f t="shared" si="7"/>
        <v> </v>
      </c>
      <c r="AP13" s="2"/>
      <c r="AQ13" s="1">
        <v>7</v>
      </c>
      <c r="AR13" s="1" t="str">
        <f>IF($BQ$196=1,Eingabe!$C$12,"")</f>
        <v>Spieler 7</v>
      </c>
      <c r="AS13" s="1">
        <f>IF($BQ$196=2,Eingabe!$C$11,"")</f>
      </c>
      <c r="AT13" s="1">
        <f>IF($BQ$196=3,Eingabe!$C$10,"")</f>
      </c>
      <c r="AU13" s="1">
        <f>IF($BQ$196=4,Eingabe!$C$9,"")</f>
      </c>
      <c r="AV13" s="1">
        <f>IF($BQ$196=5,Eingabe!$C$8,"")</f>
      </c>
      <c r="AW13" s="1">
        <f>IF($BQ$196=6,Eingabe!$C$7,"")</f>
      </c>
      <c r="AX13" s="1">
        <f>IF($BQ$196=7,Eingabe!$C$6,"")</f>
      </c>
      <c r="AY13" s="1">
        <f>IF($BQ$196=8,Eingabe!$G$14,"")</f>
      </c>
      <c r="AZ13" s="1">
        <f>IF($BQ$196=9,Eingabe!$G$13,"")</f>
      </c>
      <c r="BA13" s="1">
        <f>IF($BQ$196=10,Eingabe!$G$12,"")</f>
      </c>
      <c r="BB13" s="1">
        <f>IF($BQ$196=11,Eingabe!$G$11,"")</f>
      </c>
      <c r="BC13" s="1">
        <f>IF($BQ$196=12,Eingabe!$G$10,"")</f>
      </c>
      <c r="BD13" s="1">
        <f>IF($BQ$196=13,Eingabe!$G$9,"")</f>
      </c>
      <c r="BE13" s="1">
        <f>IF($BQ$196=14,Eingabe!$G$8,"")</f>
      </c>
      <c r="BF13" s="1">
        <f>IF($BQ$196=15,Eingabe!$G$7,"")</f>
      </c>
      <c r="BG13" s="1">
        <f>IF($BQ$196=16,Eingabe!$G$6,"")</f>
      </c>
      <c r="BH13" s="1">
        <f>IF($BQ$196=17,Eingabe!$C$15,"")</f>
      </c>
      <c r="BI13" s="1">
        <f>IF($BQ$196=18,Eingabe!$C$14,"")</f>
      </c>
      <c r="BJ13" s="1">
        <f>IF($BQ$196=19,Eingabe!$C$13,"")</f>
      </c>
      <c r="BK13" s="1" t="str">
        <f t="shared" si="2"/>
        <v>Spieler 7</v>
      </c>
      <c r="BM13" s="1">
        <f t="shared" si="0"/>
        <v>0</v>
      </c>
      <c r="BN13" s="1">
        <v>1</v>
      </c>
      <c r="BO13" s="1">
        <f t="shared" si="1"/>
        <v>0</v>
      </c>
      <c r="BP13" s="1">
        <v>1</v>
      </c>
      <c r="BQ13" s="1">
        <v>8</v>
      </c>
    </row>
    <row r="14" spans="1:69" ht="12.75">
      <c r="A14" t="str">
        <f>IF(Eingabe!$G$15="spielfrei","Tisch 2 :","Tisch 3 :")</f>
        <v>Tisch 3 :</v>
      </c>
      <c r="C14" s="15" t="str">
        <f>Eingabe!$G$13</f>
        <v>Spieler 18</v>
      </c>
      <c r="D14" s="1" t="s">
        <v>1</v>
      </c>
      <c r="E14" s="15" t="str">
        <f>Eingabe!$C$8</f>
        <v>Spieler 3</v>
      </c>
      <c r="F14" s="15"/>
      <c r="G14" s="1" t="s">
        <v>28</v>
      </c>
      <c r="H14" s="1" t="s">
        <v>1</v>
      </c>
      <c r="I14" s="5" t="str">
        <f t="shared" si="3"/>
        <v> </v>
      </c>
      <c r="J14" s="3"/>
      <c r="K14" s="15" t="str">
        <f>Eingabe!$G$12</f>
        <v>Spieler 17</v>
      </c>
      <c r="L14" s="1" t="s">
        <v>1</v>
      </c>
      <c r="M14" s="15" t="str">
        <f>Eingabe!$C$7</f>
        <v>Spieler 2</v>
      </c>
      <c r="N14" s="15"/>
      <c r="O14" s="1" t="s">
        <v>28</v>
      </c>
      <c r="P14" s="1" t="s">
        <v>1</v>
      </c>
      <c r="Q14" s="5" t="str">
        <f t="shared" si="4"/>
        <v> </v>
      </c>
      <c r="R14" s="3"/>
      <c r="S14" s="15" t="str">
        <f>Eingabe!$G$11</f>
        <v>Spieler 16</v>
      </c>
      <c r="T14" s="1" t="s">
        <v>1</v>
      </c>
      <c r="U14" s="15" t="str">
        <f>Eingabe!$C$6</f>
        <v>Spieler 1</v>
      </c>
      <c r="V14" s="15"/>
      <c r="W14" s="1" t="s">
        <v>28</v>
      </c>
      <c r="X14" s="1" t="s">
        <v>1</v>
      </c>
      <c r="Y14" s="5" t="str">
        <f t="shared" si="5"/>
        <v> </v>
      </c>
      <c r="Z14" s="3"/>
      <c r="AA14" s="15" t="str">
        <f>Eingabe!$G$10</f>
        <v>Spieler 15</v>
      </c>
      <c r="AB14" s="1" t="s">
        <v>1</v>
      </c>
      <c r="AC14" s="15" t="str">
        <f>Eingabe!$G$14</f>
        <v>Spieler 19</v>
      </c>
      <c r="AD14" s="15"/>
      <c r="AE14" s="1" t="s">
        <v>28</v>
      </c>
      <c r="AF14" s="1" t="s">
        <v>1</v>
      </c>
      <c r="AG14" s="5" t="str">
        <f t="shared" si="6"/>
        <v> </v>
      </c>
      <c r="AH14" s="3"/>
      <c r="AI14" s="15" t="str">
        <f>Eingabe!$G$9</f>
        <v>Spieler 14</v>
      </c>
      <c r="AJ14" s="1" t="s">
        <v>1</v>
      </c>
      <c r="AK14" s="15" t="str">
        <f>Eingabe!$G$13</f>
        <v>Spieler 18</v>
      </c>
      <c r="AL14" s="15"/>
      <c r="AM14" s="1" t="s">
        <v>28</v>
      </c>
      <c r="AN14" s="1" t="s">
        <v>1</v>
      </c>
      <c r="AO14" s="3" t="str">
        <f t="shared" si="7"/>
        <v> </v>
      </c>
      <c r="AP14" s="2"/>
      <c r="AQ14" s="1">
        <v>8</v>
      </c>
      <c r="AR14" s="1" t="str">
        <f>IF($BQ$196=1,Eingabe!$C$13,"")</f>
        <v>Spieler 8</v>
      </c>
      <c r="AS14" s="1">
        <f>IF($BQ$196=2,Eingabe!$C$12,"")</f>
      </c>
      <c r="AT14" s="1">
        <f>IF($BQ$196=3,Eingabe!$C$11,"")</f>
      </c>
      <c r="AU14" s="1">
        <f>IF($BQ$196=4,Eingabe!$C$10,"")</f>
      </c>
      <c r="AV14" s="1">
        <f>IF($BQ$196=5,Eingabe!$C$9,"")</f>
      </c>
      <c r="AW14" s="1">
        <f>IF($BQ$196=6,Eingabe!$C$8,"")</f>
      </c>
      <c r="AX14" s="1">
        <f>IF($BQ$196=7,Eingabe!$C$7,"")</f>
      </c>
      <c r="AY14" s="1">
        <f>IF($BQ$196=8,Eingabe!$C$6,"")</f>
      </c>
      <c r="AZ14" s="1">
        <f>IF($BQ$196=9,Eingabe!$G$14,"")</f>
      </c>
      <c r="BA14" s="1">
        <f>IF($BQ$196=10,Eingabe!$G$13,"")</f>
      </c>
      <c r="BB14" s="1">
        <f>IF($BQ$196=11,Eingabe!$G$12,"")</f>
      </c>
      <c r="BC14" s="1">
        <f>IF($BQ$196=12,Eingabe!$G$11,"")</f>
      </c>
      <c r="BD14" s="1">
        <f>IF($BQ$196=13,Eingabe!$G$10,"")</f>
      </c>
      <c r="BE14" s="1">
        <f>IF($BQ$196=14,Eingabe!$G$9,"")</f>
      </c>
      <c r="BF14" s="1">
        <f>IF($BQ$196=15,Eingabe!$G$8,"")</f>
      </c>
      <c r="BG14" s="1">
        <f>IF($BQ$196=16,Eingabe!$G$7,"")</f>
      </c>
      <c r="BH14" s="1">
        <f>IF($BQ$196=17,Eingabe!$G$6,"")</f>
      </c>
      <c r="BI14" s="1">
        <f>IF($BQ$196=18,Eingabe!$C$15,"")</f>
      </c>
      <c r="BJ14" s="1">
        <f>IF($BQ$196=19,Eingabe!$C$14,"")</f>
      </c>
      <c r="BK14" s="1" t="str">
        <f t="shared" si="2"/>
        <v>Spieler 8</v>
      </c>
      <c r="BM14" s="1">
        <f t="shared" si="0"/>
        <v>0</v>
      </c>
      <c r="BN14" s="1">
        <v>2</v>
      </c>
      <c r="BO14" s="1">
        <f t="shared" si="1"/>
        <v>0</v>
      </c>
      <c r="BP14" s="1">
        <v>1</v>
      </c>
      <c r="BQ14" s="1">
        <v>9</v>
      </c>
    </row>
    <row r="15" spans="1:69" ht="12.75">
      <c r="A15" t="str">
        <f>IF(Eingabe!$G$15="spielfrei","Tisch 3 :","Tisch 4 :")</f>
        <v>Tisch 4 :</v>
      </c>
      <c r="C15" s="15" t="str">
        <f>Eingabe!$G$12</f>
        <v>Spieler 17</v>
      </c>
      <c r="D15" s="1" t="s">
        <v>1</v>
      </c>
      <c r="E15" s="15" t="str">
        <f>Eingabe!$C$9</f>
        <v>Spieler 4</v>
      </c>
      <c r="F15" s="15"/>
      <c r="G15" s="1" t="s">
        <v>28</v>
      </c>
      <c r="H15" s="1" t="s">
        <v>1</v>
      </c>
      <c r="I15" s="5" t="str">
        <f t="shared" si="3"/>
        <v> </v>
      </c>
      <c r="J15" s="3"/>
      <c r="K15" s="15" t="str">
        <f>Eingabe!$G$11</f>
        <v>Spieler 16</v>
      </c>
      <c r="L15" s="1" t="s">
        <v>1</v>
      </c>
      <c r="M15" s="15" t="str">
        <f>Eingabe!$C$8</f>
        <v>Spieler 3</v>
      </c>
      <c r="N15" s="15"/>
      <c r="O15" s="1" t="s">
        <v>28</v>
      </c>
      <c r="P15" s="1" t="s">
        <v>1</v>
      </c>
      <c r="Q15" s="5" t="str">
        <f t="shared" si="4"/>
        <v> </v>
      </c>
      <c r="R15" s="3"/>
      <c r="S15" s="15" t="str">
        <f>Eingabe!$G$10</f>
        <v>Spieler 15</v>
      </c>
      <c r="T15" s="1" t="s">
        <v>1</v>
      </c>
      <c r="U15" s="15" t="str">
        <f>Eingabe!$C$7</f>
        <v>Spieler 2</v>
      </c>
      <c r="V15" s="15"/>
      <c r="W15" s="1" t="s">
        <v>28</v>
      </c>
      <c r="X15" s="1" t="s">
        <v>1</v>
      </c>
      <c r="Y15" s="5" t="str">
        <f t="shared" si="5"/>
        <v> </v>
      </c>
      <c r="Z15" s="3"/>
      <c r="AA15" s="15" t="str">
        <f>Eingabe!$G$9</f>
        <v>Spieler 14</v>
      </c>
      <c r="AB15" s="1" t="s">
        <v>1</v>
      </c>
      <c r="AC15" s="15" t="str">
        <f>Eingabe!$C$6</f>
        <v>Spieler 1</v>
      </c>
      <c r="AD15" s="15"/>
      <c r="AE15" s="1" t="s">
        <v>28</v>
      </c>
      <c r="AF15" s="1" t="s">
        <v>1</v>
      </c>
      <c r="AG15" s="5" t="str">
        <f t="shared" si="6"/>
        <v> </v>
      </c>
      <c r="AH15" s="3"/>
      <c r="AI15" s="15" t="str">
        <f>Eingabe!$G$8</f>
        <v>Spieler 13</v>
      </c>
      <c r="AJ15" s="1" t="s">
        <v>1</v>
      </c>
      <c r="AK15" s="15" t="str">
        <f>Eingabe!$G$14</f>
        <v>Spieler 19</v>
      </c>
      <c r="AL15" s="15"/>
      <c r="AM15" s="1" t="s">
        <v>28</v>
      </c>
      <c r="AN15" s="1" t="s">
        <v>1</v>
      </c>
      <c r="AO15" s="3" t="str">
        <f t="shared" si="7"/>
        <v> </v>
      </c>
      <c r="AP15" s="2"/>
      <c r="AQ15" s="1">
        <v>9</v>
      </c>
      <c r="AR15" s="1" t="str">
        <f>IF($BQ$196=1,Eingabe!$C$14,"")</f>
        <v>Spieler 9</v>
      </c>
      <c r="AS15" s="1">
        <f>IF($BQ$196=2,Eingabe!$C$13,"")</f>
      </c>
      <c r="AT15" s="1">
        <f>IF($BQ$196=3,Eingabe!$C$12,"")</f>
      </c>
      <c r="AU15" s="1">
        <f>IF($BQ$196=4,Eingabe!$C$11,"")</f>
      </c>
      <c r="AV15" s="1">
        <f>IF($BQ$196=5,Eingabe!$C$10,"")</f>
      </c>
      <c r="AW15" s="1">
        <f>IF($BQ$196=6,Eingabe!$C$9,"")</f>
      </c>
      <c r="AX15" s="1">
        <f>IF($BQ$196=7,Eingabe!$C$8,"")</f>
      </c>
      <c r="AY15" s="1">
        <f>IF($BQ$196=8,Eingabe!$C$7,"")</f>
      </c>
      <c r="AZ15" s="1">
        <f>IF($BQ$196=9,Eingabe!$C$6,"")</f>
      </c>
      <c r="BA15" s="1">
        <f>IF($BQ$196=10,Eingabe!$G$14,"")</f>
      </c>
      <c r="BB15" s="1">
        <f>IF($BQ$196=11,Eingabe!$G$13,"")</f>
      </c>
      <c r="BC15" s="1">
        <f>IF($BQ$196=12,Eingabe!$G$12,"")</f>
      </c>
      <c r="BD15" s="1">
        <f>IF($BQ$196=13,Eingabe!$G$11,"")</f>
      </c>
      <c r="BE15" s="1">
        <f>IF($BQ$196=14,Eingabe!$G$10,"")</f>
      </c>
      <c r="BF15" s="1">
        <f>IF($BQ$196=15,Eingabe!$G$9,"")</f>
      </c>
      <c r="BG15" s="1">
        <f>IF($BQ$196=16,Eingabe!$G$8,"")</f>
      </c>
      <c r="BH15" s="1">
        <f>IF($BQ$196=17,Eingabe!$G$7,"")</f>
      </c>
      <c r="BI15" s="1">
        <f>IF($BQ$196=18,Eingabe!$G$6,"")</f>
      </c>
      <c r="BJ15" s="1">
        <f>IF($BQ$196=19,Eingabe!$C$15,"")</f>
      </c>
      <c r="BK15" s="1" t="str">
        <f t="shared" si="2"/>
        <v>Spieler 9</v>
      </c>
      <c r="BM15" s="1">
        <f t="shared" si="0"/>
        <v>0</v>
      </c>
      <c r="BN15" s="1">
        <v>2</v>
      </c>
      <c r="BO15" s="1">
        <f t="shared" si="1"/>
        <v>0</v>
      </c>
      <c r="BP15" s="1">
        <f>BP5+1</f>
        <v>2</v>
      </c>
      <c r="BQ15" s="1">
        <v>10</v>
      </c>
    </row>
    <row r="16" spans="1:69" ht="12.75">
      <c r="A16" t="str">
        <f>IF(Eingabe!$G$15="spielfrei","Tisch 4 :","Tisch 5 :")</f>
        <v>Tisch 5 :</v>
      </c>
      <c r="C16" s="15" t="str">
        <f>Eingabe!$G$11</f>
        <v>Spieler 16</v>
      </c>
      <c r="D16" s="1" t="s">
        <v>1</v>
      </c>
      <c r="E16" s="15" t="str">
        <f>Eingabe!$C$10</f>
        <v>Spieler 5</v>
      </c>
      <c r="F16" s="15"/>
      <c r="G16" s="1" t="s">
        <v>28</v>
      </c>
      <c r="H16" s="1" t="s">
        <v>1</v>
      </c>
      <c r="I16" s="5" t="str">
        <f t="shared" si="3"/>
        <v> </v>
      </c>
      <c r="J16" s="3"/>
      <c r="K16" s="15" t="str">
        <f>Eingabe!$G$10</f>
        <v>Spieler 15</v>
      </c>
      <c r="L16" s="1" t="s">
        <v>1</v>
      </c>
      <c r="M16" s="15" t="str">
        <f>Eingabe!$C$9</f>
        <v>Spieler 4</v>
      </c>
      <c r="N16" s="15"/>
      <c r="O16" s="1" t="s">
        <v>28</v>
      </c>
      <c r="P16" s="1" t="s">
        <v>1</v>
      </c>
      <c r="Q16" s="5" t="str">
        <f t="shared" si="4"/>
        <v> </v>
      </c>
      <c r="R16" s="3"/>
      <c r="S16" s="15" t="str">
        <f>Eingabe!$G$9</f>
        <v>Spieler 14</v>
      </c>
      <c r="T16" s="1" t="s">
        <v>1</v>
      </c>
      <c r="U16" s="15" t="str">
        <f>Eingabe!$C$8</f>
        <v>Spieler 3</v>
      </c>
      <c r="V16" s="15"/>
      <c r="W16" s="1" t="s">
        <v>28</v>
      </c>
      <c r="X16" s="1" t="s">
        <v>1</v>
      </c>
      <c r="Y16" s="5" t="str">
        <f t="shared" si="5"/>
        <v> </v>
      </c>
      <c r="Z16" s="3"/>
      <c r="AA16" s="15" t="str">
        <f>Eingabe!$G$8</f>
        <v>Spieler 13</v>
      </c>
      <c r="AB16" s="1" t="s">
        <v>1</v>
      </c>
      <c r="AC16" s="15" t="str">
        <f>Eingabe!$C$7</f>
        <v>Spieler 2</v>
      </c>
      <c r="AD16" s="15"/>
      <c r="AE16" s="1" t="s">
        <v>28</v>
      </c>
      <c r="AF16" s="1" t="s">
        <v>1</v>
      </c>
      <c r="AG16" s="5" t="str">
        <f t="shared" si="6"/>
        <v> </v>
      </c>
      <c r="AH16" s="3"/>
      <c r="AI16" s="15" t="str">
        <f>Eingabe!$G$7</f>
        <v>Spieler 12</v>
      </c>
      <c r="AJ16" s="1" t="s">
        <v>1</v>
      </c>
      <c r="AK16" s="15" t="str">
        <f>Eingabe!$C$6</f>
        <v>Spieler 1</v>
      </c>
      <c r="AL16" s="15"/>
      <c r="AM16" s="1" t="s">
        <v>28</v>
      </c>
      <c r="AN16" s="1" t="s">
        <v>1</v>
      </c>
      <c r="AO16" s="3" t="str">
        <f t="shared" si="7"/>
        <v> </v>
      </c>
      <c r="AP16" s="2"/>
      <c r="AQ16" s="1">
        <v>10</v>
      </c>
      <c r="AR16" s="1" t="str">
        <f>IF($BQ$196=1,Eingabe!$C$15,"")</f>
        <v>Spieler 10</v>
      </c>
      <c r="AS16" s="1">
        <f>IF($BQ$196=2,Eingabe!$C$14,"")</f>
      </c>
      <c r="AT16" s="1">
        <f>IF($BQ$196=3,Eingabe!$C$13,"")</f>
      </c>
      <c r="AU16" s="1">
        <f>IF($BQ$196=4,Eingabe!$C$12,"")</f>
      </c>
      <c r="AV16" s="1">
        <f>IF($BQ$196=5,Eingabe!$C$11,"")</f>
      </c>
      <c r="AW16" s="1">
        <f>IF($BQ$196=6,Eingabe!$C$10,"")</f>
      </c>
      <c r="AX16" s="1">
        <f>IF($BQ$196=7,Eingabe!$C$9,"")</f>
      </c>
      <c r="AY16" s="1">
        <f>IF($BQ$196=8,Eingabe!$C$8,"")</f>
      </c>
      <c r="AZ16" s="1">
        <f>IF($BQ$196=9,Eingabe!$C$7,"")</f>
      </c>
      <c r="BA16" s="1">
        <f>IF($BQ$196=10,Eingabe!$C$6,"")</f>
      </c>
      <c r="BB16" s="1">
        <f>IF($BQ$196=11,Eingabe!$G$14,"")</f>
      </c>
      <c r="BC16" s="1">
        <f>IF($BQ$196=12,Eingabe!$G$13,"")</f>
      </c>
      <c r="BD16" s="1">
        <f>IF($BQ$196=13,Eingabe!$G$12,"")</f>
      </c>
      <c r="BE16" s="1">
        <f>IF($BQ$196=14,Eingabe!$G$11,"")</f>
      </c>
      <c r="BF16" s="1">
        <f>IF($BQ$196=15,Eingabe!$G$10,"")</f>
      </c>
      <c r="BG16" s="1">
        <f>IF($BQ$196=16,Eingabe!$G$9,"")</f>
      </c>
      <c r="BH16" s="1">
        <f>IF($BQ$196=17,Eingabe!$G$8,"")</f>
      </c>
      <c r="BI16" s="1">
        <f>IF($BQ$196=18,Eingabe!$G$7,"")</f>
      </c>
      <c r="BJ16" s="1">
        <f>IF($BQ$196=19,Eingabe!$G$6,"")</f>
      </c>
      <c r="BK16" s="1" t="str">
        <f t="shared" si="2"/>
        <v>Spieler 10</v>
      </c>
      <c r="BM16" s="1">
        <f t="shared" si="0"/>
        <v>0</v>
      </c>
      <c r="BN16" s="1">
        <v>2</v>
      </c>
      <c r="BO16" s="1">
        <f t="shared" si="1"/>
        <v>0</v>
      </c>
      <c r="BP16" s="1">
        <f aca="true" t="shared" si="8" ref="BP16:BP79">BP6+1</f>
        <v>2</v>
      </c>
      <c r="BQ16" s="1">
        <v>11</v>
      </c>
    </row>
    <row r="17" spans="1:69" ht="12.75">
      <c r="A17" t="str">
        <f>IF(Eingabe!$G$15="spielfrei","Tisch 5 :","Tisch 6 :")</f>
        <v>Tisch 6 :</v>
      </c>
      <c r="C17" s="15" t="str">
        <f>Eingabe!$G$10</f>
        <v>Spieler 15</v>
      </c>
      <c r="D17" s="1" t="s">
        <v>1</v>
      </c>
      <c r="E17" s="15" t="str">
        <f>Eingabe!$C$11</f>
        <v>Spieler 6</v>
      </c>
      <c r="F17" s="15"/>
      <c r="G17" s="1" t="s">
        <v>28</v>
      </c>
      <c r="H17" s="1" t="s">
        <v>1</v>
      </c>
      <c r="I17" s="5" t="str">
        <f t="shared" si="3"/>
        <v> </v>
      </c>
      <c r="J17" s="3"/>
      <c r="K17" s="15" t="str">
        <f>Eingabe!$G$9</f>
        <v>Spieler 14</v>
      </c>
      <c r="L17" s="1" t="s">
        <v>1</v>
      </c>
      <c r="M17" s="15" t="str">
        <f>Eingabe!$C$10</f>
        <v>Spieler 5</v>
      </c>
      <c r="N17" s="15"/>
      <c r="O17" s="1" t="s">
        <v>28</v>
      </c>
      <c r="P17" s="1" t="s">
        <v>1</v>
      </c>
      <c r="Q17" s="5" t="str">
        <f t="shared" si="4"/>
        <v> </v>
      </c>
      <c r="R17" s="3"/>
      <c r="S17" s="15" t="str">
        <f>Eingabe!$G$8</f>
        <v>Spieler 13</v>
      </c>
      <c r="T17" s="1" t="s">
        <v>1</v>
      </c>
      <c r="U17" s="15" t="str">
        <f>Eingabe!$C$9</f>
        <v>Spieler 4</v>
      </c>
      <c r="V17" s="15"/>
      <c r="W17" s="1" t="s">
        <v>28</v>
      </c>
      <c r="X17" s="1" t="s">
        <v>1</v>
      </c>
      <c r="Y17" s="5" t="str">
        <f t="shared" si="5"/>
        <v> </v>
      </c>
      <c r="Z17" s="3"/>
      <c r="AA17" s="15" t="str">
        <f>Eingabe!$G$7</f>
        <v>Spieler 12</v>
      </c>
      <c r="AB17" s="1" t="s">
        <v>1</v>
      </c>
      <c r="AC17" s="15" t="str">
        <f>Eingabe!$C$8</f>
        <v>Spieler 3</v>
      </c>
      <c r="AD17" s="15"/>
      <c r="AE17" s="1" t="s">
        <v>28</v>
      </c>
      <c r="AF17" s="1" t="s">
        <v>1</v>
      </c>
      <c r="AG17" s="5" t="str">
        <f t="shared" si="6"/>
        <v> </v>
      </c>
      <c r="AH17" s="3"/>
      <c r="AI17" s="15" t="str">
        <f>Eingabe!$G$6</f>
        <v>Spieler 11</v>
      </c>
      <c r="AJ17" s="1" t="s">
        <v>1</v>
      </c>
      <c r="AK17" s="15" t="str">
        <f>Eingabe!$C$7</f>
        <v>Spieler 2</v>
      </c>
      <c r="AL17" s="15"/>
      <c r="AM17" s="1" t="s">
        <v>28</v>
      </c>
      <c r="AN17" s="1" t="s">
        <v>1</v>
      </c>
      <c r="AO17" s="3" t="str">
        <f t="shared" si="7"/>
        <v> </v>
      </c>
      <c r="AP17" s="2"/>
      <c r="AQ17" s="1">
        <v>11</v>
      </c>
      <c r="AR17" s="1" t="str">
        <f>IF($BQ$196=1,Eingabe!$G$6,"")</f>
        <v>Spieler 11</v>
      </c>
      <c r="AS17" s="1">
        <f>IF($BQ$196=2,Eingabe!$C$15,"")</f>
      </c>
      <c r="AT17" s="1">
        <f>IF($BQ$196=3,Eingabe!$C$14,"")</f>
      </c>
      <c r="AU17" s="1">
        <f>IF($BQ$196=4,Eingabe!$C$13,"")</f>
      </c>
      <c r="AV17" s="1">
        <f>IF($BQ$196=5,Eingabe!$C$12,"")</f>
      </c>
      <c r="AW17" s="1">
        <f>IF($BQ$196=6,Eingabe!$C$11,"")</f>
      </c>
      <c r="AX17" s="1">
        <f>IF($BQ$196=7,Eingabe!$C$10,"")</f>
      </c>
      <c r="AY17" s="1">
        <f>IF($BQ$196=8,Eingabe!$C$9,"")</f>
      </c>
      <c r="AZ17" s="1">
        <f>IF($BQ$196=9,Eingabe!$C$8,"")</f>
      </c>
      <c r="BA17" s="1">
        <f>IF($BQ$196=10,Eingabe!$C$7,"")</f>
      </c>
      <c r="BB17" s="1">
        <f>IF($BQ$196=11,Eingabe!$C$6,"")</f>
      </c>
      <c r="BC17" s="1">
        <f>IF($BQ$196=12,Eingabe!$G$14,"")</f>
      </c>
      <c r="BD17" s="1">
        <f>IF($BQ$196=13,Eingabe!$G$13,"")</f>
      </c>
      <c r="BE17" s="1">
        <f>IF($BQ$196=14,Eingabe!$G$12,"")</f>
      </c>
      <c r="BF17" s="1">
        <f>IF($BQ$196=15,Eingabe!$G$11,"")</f>
      </c>
      <c r="BG17" s="1">
        <f>IF($BQ$196=16,Eingabe!$G$10,"")</f>
      </c>
      <c r="BH17" s="1">
        <f>IF($BQ$196=17,Eingabe!$G$9,"")</f>
      </c>
      <c r="BI17" s="1">
        <f>IF($BQ$196=18,Eingabe!$G$8,"")</f>
      </c>
      <c r="BJ17" s="1">
        <f>IF($BQ$196=19,Eingabe!$G$7,"")</f>
      </c>
      <c r="BK17" s="1" t="str">
        <f t="shared" si="2"/>
        <v>Spieler 11</v>
      </c>
      <c r="BM17" s="1">
        <f t="shared" si="0"/>
        <v>0</v>
      </c>
      <c r="BN17" s="1">
        <v>2</v>
      </c>
      <c r="BO17" s="1">
        <f t="shared" si="1"/>
        <v>0</v>
      </c>
      <c r="BP17" s="1">
        <f t="shared" si="8"/>
        <v>2</v>
      </c>
      <c r="BQ17" s="1">
        <v>12</v>
      </c>
    </row>
    <row r="18" spans="1:69" ht="12.75">
      <c r="A18" t="str">
        <f>IF(Eingabe!$G$15="spielfrei","Tisch 6 :","Tisch 7 :")</f>
        <v>Tisch 7 :</v>
      </c>
      <c r="C18" s="15" t="str">
        <f>Eingabe!$G$9</f>
        <v>Spieler 14</v>
      </c>
      <c r="D18" s="1" t="s">
        <v>1</v>
      </c>
      <c r="E18" s="15" t="str">
        <f>Eingabe!$C$12</f>
        <v>Spieler 7</v>
      </c>
      <c r="F18" s="15"/>
      <c r="G18" s="1" t="s">
        <v>28</v>
      </c>
      <c r="H18" s="1" t="s">
        <v>1</v>
      </c>
      <c r="I18" s="5" t="str">
        <f t="shared" si="3"/>
        <v> </v>
      </c>
      <c r="J18" s="3"/>
      <c r="K18" s="15" t="str">
        <f>Eingabe!$G$8</f>
        <v>Spieler 13</v>
      </c>
      <c r="L18" s="1" t="s">
        <v>1</v>
      </c>
      <c r="M18" s="15" t="str">
        <f>Eingabe!$C$11</f>
        <v>Spieler 6</v>
      </c>
      <c r="N18" s="15"/>
      <c r="O18" s="1" t="s">
        <v>28</v>
      </c>
      <c r="P18" s="1" t="s">
        <v>1</v>
      </c>
      <c r="Q18" s="5" t="str">
        <f t="shared" si="4"/>
        <v> </v>
      </c>
      <c r="R18" s="3"/>
      <c r="S18" s="15" t="str">
        <f>Eingabe!$G$7</f>
        <v>Spieler 12</v>
      </c>
      <c r="T18" s="1" t="s">
        <v>1</v>
      </c>
      <c r="U18" s="15" t="str">
        <f>Eingabe!$C$10</f>
        <v>Spieler 5</v>
      </c>
      <c r="V18" s="15"/>
      <c r="W18" s="1" t="s">
        <v>28</v>
      </c>
      <c r="X18" s="1" t="s">
        <v>1</v>
      </c>
      <c r="Y18" s="5" t="str">
        <f t="shared" si="5"/>
        <v> </v>
      </c>
      <c r="Z18" s="3"/>
      <c r="AA18" s="15" t="str">
        <f>Eingabe!$G$6</f>
        <v>Spieler 11</v>
      </c>
      <c r="AB18" s="1" t="s">
        <v>1</v>
      </c>
      <c r="AC18" s="15" t="str">
        <f>Eingabe!$C$9</f>
        <v>Spieler 4</v>
      </c>
      <c r="AD18" s="15"/>
      <c r="AE18" s="1" t="s">
        <v>28</v>
      </c>
      <c r="AF18" s="1" t="s">
        <v>1</v>
      </c>
      <c r="AG18" s="5" t="str">
        <f t="shared" si="6"/>
        <v> </v>
      </c>
      <c r="AH18" s="3"/>
      <c r="AI18" s="15" t="str">
        <f>Eingabe!$C$15</f>
        <v>Spieler 10</v>
      </c>
      <c r="AJ18" s="1" t="s">
        <v>1</v>
      </c>
      <c r="AK18" s="15" t="str">
        <f>Eingabe!$C$8</f>
        <v>Spieler 3</v>
      </c>
      <c r="AL18" s="15"/>
      <c r="AM18" s="1" t="s">
        <v>28</v>
      </c>
      <c r="AN18" s="1" t="s">
        <v>1</v>
      </c>
      <c r="AO18" s="3" t="str">
        <f t="shared" si="7"/>
        <v> </v>
      </c>
      <c r="AP18" s="2"/>
      <c r="AQ18" s="1">
        <v>12</v>
      </c>
      <c r="AR18" s="1" t="str">
        <f>IF($BQ$196=1,Eingabe!$G$7,"")</f>
        <v>Spieler 12</v>
      </c>
      <c r="AS18" s="1">
        <f>IF($BQ$196=2,Eingabe!$G$6,"")</f>
      </c>
      <c r="AT18" s="1">
        <f>IF($BQ$196=3,Eingabe!$C$15,"")</f>
      </c>
      <c r="AU18" s="1">
        <f>IF($BQ$196=4,Eingabe!$C$14,"")</f>
      </c>
      <c r="AV18" s="1">
        <f>IF($BQ$196=5,Eingabe!$C$13,"")</f>
      </c>
      <c r="AW18" s="1">
        <f>IF($BQ$196=6,Eingabe!$C$12,"")</f>
      </c>
      <c r="AX18" s="1">
        <f>IF($BQ$196=7,Eingabe!$C$11,"")</f>
      </c>
      <c r="AY18" s="1">
        <f>IF($BQ$196=8,Eingabe!$C$10,"")</f>
      </c>
      <c r="AZ18" s="1">
        <f>IF($BQ$196=9,Eingabe!$C$9,"")</f>
      </c>
      <c r="BA18" s="1">
        <f>IF($BQ$196=10,Eingabe!$C$8,"")</f>
      </c>
      <c r="BB18" s="1">
        <f>IF($BQ$196=11,Eingabe!$C$7,"")</f>
      </c>
      <c r="BC18" s="1">
        <f>IF($BQ$196=12,Eingabe!$C$6,"")</f>
      </c>
      <c r="BD18" s="1">
        <f>IF($BQ$196=13,Eingabe!$G$14,"")</f>
      </c>
      <c r="BE18" s="1">
        <f>IF($BQ$196=14,Eingabe!$G$13,"")</f>
      </c>
      <c r="BF18" s="1">
        <f>IF($BQ$196=15,Eingabe!$G$12,"")</f>
      </c>
      <c r="BG18" s="1">
        <f>IF($BQ$196=16,Eingabe!$G$11,"")</f>
      </c>
      <c r="BH18" s="1">
        <f>IF($BQ$196=17,Eingabe!$G$10,"")</f>
      </c>
      <c r="BI18" s="1">
        <f>IF($BQ$196=18,Eingabe!$G$9,"")</f>
      </c>
      <c r="BJ18" s="1">
        <f>IF($BQ$196=19,Eingabe!$G$8,"")</f>
      </c>
      <c r="BK18" s="1" t="str">
        <f t="shared" si="2"/>
        <v>Spieler 12</v>
      </c>
      <c r="BM18" s="1">
        <f t="shared" si="0"/>
        <v>0</v>
      </c>
      <c r="BN18" s="1">
        <v>2</v>
      </c>
      <c r="BO18" s="1">
        <f t="shared" si="1"/>
        <v>0</v>
      </c>
      <c r="BP18" s="1">
        <f t="shared" si="8"/>
        <v>2</v>
      </c>
      <c r="BQ18" s="1">
        <v>13</v>
      </c>
    </row>
    <row r="19" spans="1:69" ht="12.75">
      <c r="A19" t="str">
        <f>IF(Eingabe!$G$15="spielfrei","Tisch 7 :","Tisch 8 :")</f>
        <v>Tisch 8 :</v>
      </c>
      <c r="C19" s="15" t="str">
        <f>Eingabe!$G$8</f>
        <v>Spieler 13</v>
      </c>
      <c r="D19" s="1" t="s">
        <v>1</v>
      </c>
      <c r="E19" s="15" t="str">
        <f>Eingabe!$C$13</f>
        <v>Spieler 8</v>
      </c>
      <c r="F19" s="15"/>
      <c r="G19" s="1" t="s">
        <v>28</v>
      </c>
      <c r="H19" s="1" t="s">
        <v>1</v>
      </c>
      <c r="I19" s="5" t="str">
        <f t="shared" si="3"/>
        <v> </v>
      </c>
      <c r="J19" s="3"/>
      <c r="K19" s="15" t="str">
        <f>Eingabe!$G$7</f>
        <v>Spieler 12</v>
      </c>
      <c r="L19" s="1" t="s">
        <v>1</v>
      </c>
      <c r="M19" s="15" t="str">
        <f>Eingabe!$C$12</f>
        <v>Spieler 7</v>
      </c>
      <c r="N19" s="15"/>
      <c r="O19" s="1" t="s">
        <v>28</v>
      </c>
      <c r="P19" s="1" t="s">
        <v>1</v>
      </c>
      <c r="Q19" s="5" t="str">
        <f t="shared" si="4"/>
        <v> </v>
      </c>
      <c r="R19" s="3"/>
      <c r="S19" s="15" t="str">
        <f>Eingabe!$G$6</f>
        <v>Spieler 11</v>
      </c>
      <c r="T19" s="1" t="s">
        <v>1</v>
      </c>
      <c r="U19" s="15" t="str">
        <f>Eingabe!$C$11</f>
        <v>Spieler 6</v>
      </c>
      <c r="V19" s="15"/>
      <c r="W19" s="1" t="s">
        <v>28</v>
      </c>
      <c r="X19" s="1" t="s">
        <v>1</v>
      </c>
      <c r="Y19" s="5" t="str">
        <f t="shared" si="5"/>
        <v> </v>
      </c>
      <c r="Z19" s="3"/>
      <c r="AA19" s="15" t="str">
        <f>Eingabe!$C$15</f>
        <v>Spieler 10</v>
      </c>
      <c r="AB19" s="1" t="s">
        <v>1</v>
      </c>
      <c r="AC19" s="15" t="str">
        <f>Eingabe!$C$10</f>
        <v>Spieler 5</v>
      </c>
      <c r="AD19" s="15"/>
      <c r="AE19" s="1" t="s">
        <v>28</v>
      </c>
      <c r="AF19" s="1" t="s">
        <v>1</v>
      </c>
      <c r="AG19" s="5" t="str">
        <f t="shared" si="6"/>
        <v> </v>
      </c>
      <c r="AH19" s="3"/>
      <c r="AI19" s="15" t="str">
        <f>Eingabe!$C$14</f>
        <v>Spieler 9</v>
      </c>
      <c r="AJ19" s="1" t="s">
        <v>1</v>
      </c>
      <c r="AK19" s="15" t="str">
        <f>Eingabe!$C$9</f>
        <v>Spieler 4</v>
      </c>
      <c r="AL19" s="15"/>
      <c r="AM19" s="1" t="s">
        <v>28</v>
      </c>
      <c r="AN19" s="1" t="s">
        <v>1</v>
      </c>
      <c r="AO19" s="3" t="str">
        <f t="shared" si="7"/>
        <v> </v>
      </c>
      <c r="AP19" s="2"/>
      <c r="AQ19" s="1">
        <v>13</v>
      </c>
      <c r="AR19" s="1" t="str">
        <f>IF($BQ$196=1,Eingabe!$G$8,"")</f>
        <v>Spieler 13</v>
      </c>
      <c r="AS19" s="1">
        <f>IF($BQ$196=2,Eingabe!$G$7,"")</f>
      </c>
      <c r="AT19" s="1">
        <f>IF($BQ$196=3,Eingabe!$G$6,"")</f>
      </c>
      <c r="AU19" s="1">
        <f>IF($BQ$196=4,Eingabe!$C$15,"")</f>
      </c>
      <c r="AV19" s="1">
        <f>IF($BQ$196=5,Eingabe!$C$14,"")</f>
      </c>
      <c r="AW19" s="1">
        <f>IF($BQ$196=6,Eingabe!$C$13,"")</f>
      </c>
      <c r="AX19" s="1">
        <f>IF($BQ$196=7,Eingabe!$C$12,"")</f>
      </c>
      <c r="AY19" s="1">
        <f>IF($BQ$196=8,Eingabe!$C$11,"")</f>
      </c>
      <c r="AZ19" s="1">
        <f>IF($BQ$196=9,Eingabe!$C$10,"")</f>
      </c>
      <c r="BA19" s="1">
        <f>IF($BQ$196=10,Eingabe!$C$9,"")</f>
      </c>
      <c r="BB19" s="1">
        <f>IF($BQ$196=11,Eingabe!$C$8,"")</f>
      </c>
      <c r="BC19" s="1">
        <f>IF($BQ$196=12,Eingabe!$C$7,"")</f>
      </c>
      <c r="BD19" s="1">
        <f>IF($BQ$196=13,Eingabe!$C$6,"")</f>
      </c>
      <c r="BE19" s="1">
        <f>IF($BQ$196=14,Eingabe!$G$14,"")</f>
      </c>
      <c r="BF19" s="1">
        <f>IF($BQ$196=15,Eingabe!$G$13,"")</f>
      </c>
      <c r="BG19" s="1">
        <f>IF($BQ$196=16,Eingabe!$G$12,"")</f>
      </c>
      <c r="BH19" s="1">
        <f>IF($BQ$196=17,Eingabe!$G$11,"")</f>
      </c>
      <c r="BI19" s="1">
        <f>IF($BQ$196=18,Eingabe!$G$10,"")</f>
      </c>
      <c r="BJ19" s="1">
        <f>IF($BQ$196=19,Eingabe!$G$9,"")</f>
      </c>
      <c r="BK19" s="1" t="str">
        <f t="shared" si="2"/>
        <v>Spieler 13</v>
      </c>
      <c r="BM19" s="1">
        <f t="shared" si="0"/>
        <v>0</v>
      </c>
      <c r="BN19" s="1">
        <v>2</v>
      </c>
      <c r="BO19" s="1">
        <f t="shared" si="1"/>
        <v>0</v>
      </c>
      <c r="BP19" s="1">
        <f t="shared" si="8"/>
        <v>2</v>
      </c>
      <c r="BQ19" s="1">
        <v>14</v>
      </c>
    </row>
    <row r="20" spans="1:69" ht="12.75">
      <c r="A20" t="str">
        <f>IF(Eingabe!$G$15="spielfrei","Tisch 8 :","Tisch 9 :")</f>
        <v>Tisch 9 :</v>
      </c>
      <c r="C20" s="15" t="str">
        <f>Eingabe!$G$7</f>
        <v>Spieler 12</v>
      </c>
      <c r="D20" s="1" t="s">
        <v>1</v>
      </c>
      <c r="E20" s="15" t="str">
        <f>Eingabe!$C$14</f>
        <v>Spieler 9</v>
      </c>
      <c r="F20" s="15"/>
      <c r="G20" s="1" t="s">
        <v>28</v>
      </c>
      <c r="H20" s="1" t="s">
        <v>1</v>
      </c>
      <c r="I20" s="5" t="str">
        <f t="shared" si="3"/>
        <v> </v>
      </c>
      <c r="J20" s="3"/>
      <c r="K20" s="15" t="str">
        <f>Eingabe!$G$6</f>
        <v>Spieler 11</v>
      </c>
      <c r="L20" s="1" t="s">
        <v>1</v>
      </c>
      <c r="M20" s="15" t="str">
        <f>Eingabe!$C$13</f>
        <v>Spieler 8</v>
      </c>
      <c r="N20" s="15"/>
      <c r="O20" s="1" t="s">
        <v>28</v>
      </c>
      <c r="P20" s="1" t="s">
        <v>1</v>
      </c>
      <c r="Q20" s="5" t="str">
        <f t="shared" si="4"/>
        <v> </v>
      </c>
      <c r="R20" s="3"/>
      <c r="S20" s="15" t="str">
        <f>Eingabe!$C$15</f>
        <v>Spieler 10</v>
      </c>
      <c r="T20" s="1" t="s">
        <v>1</v>
      </c>
      <c r="U20" s="15" t="str">
        <f>Eingabe!$C$12</f>
        <v>Spieler 7</v>
      </c>
      <c r="V20" s="15"/>
      <c r="W20" s="1" t="s">
        <v>28</v>
      </c>
      <c r="X20" s="1" t="s">
        <v>1</v>
      </c>
      <c r="Y20" s="5" t="str">
        <f t="shared" si="5"/>
        <v> </v>
      </c>
      <c r="Z20" s="3"/>
      <c r="AA20" s="15" t="str">
        <f>Eingabe!$C$14</f>
        <v>Spieler 9</v>
      </c>
      <c r="AB20" s="1" t="s">
        <v>1</v>
      </c>
      <c r="AC20" s="15" t="str">
        <f>Eingabe!$C$11</f>
        <v>Spieler 6</v>
      </c>
      <c r="AD20" s="15"/>
      <c r="AE20" s="1" t="s">
        <v>28</v>
      </c>
      <c r="AF20" s="1" t="s">
        <v>1</v>
      </c>
      <c r="AG20" s="5" t="str">
        <f t="shared" si="6"/>
        <v> </v>
      </c>
      <c r="AH20" s="3"/>
      <c r="AI20" s="15" t="str">
        <f>Eingabe!$C$13</f>
        <v>Spieler 8</v>
      </c>
      <c r="AJ20" s="1" t="s">
        <v>1</v>
      </c>
      <c r="AK20" s="15" t="str">
        <f>Eingabe!$C$10</f>
        <v>Spieler 5</v>
      </c>
      <c r="AL20" s="15"/>
      <c r="AM20" s="1" t="s">
        <v>28</v>
      </c>
      <c r="AN20" s="1" t="s">
        <v>1</v>
      </c>
      <c r="AO20" s="3" t="str">
        <f t="shared" si="7"/>
        <v> </v>
      </c>
      <c r="AP20" s="2"/>
      <c r="AQ20" s="1">
        <v>14</v>
      </c>
      <c r="AR20" s="1" t="str">
        <f>IF($BQ$196=1,Eingabe!$G$9,"")</f>
        <v>Spieler 14</v>
      </c>
      <c r="AS20" s="1">
        <f>IF($BQ$196=2,Eingabe!$G$8,"")</f>
      </c>
      <c r="AT20" s="1">
        <f>IF($BQ$196=3,Eingabe!$G$7,"")</f>
      </c>
      <c r="AU20" s="1">
        <f>IF($BQ$196=4,Eingabe!$G$6,"")</f>
      </c>
      <c r="AV20" s="1">
        <f>IF($BQ$196=5,Eingabe!$C$15,"")</f>
      </c>
      <c r="AW20" s="1">
        <f>IF($BQ$196=6,Eingabe!$C$14,"")</f>
      </c>
      <c r="AX20" s="1">
        <f>IF($BQ$196=7,Eingabe!$C$13,"")</f>
      </c>
      <c r="AY20" s="1">
        <f>IF($BQ$196=8,Eingabe!$C$12,"")</f>
      </c>
      <c r="AZ20" s="1">
        <f>IF($BQ$196=9,Eingabe!$C$11,"")</f>
      </c>
      <c r="BA20" s="1">
        <f>IF($BQ$196=10,Eingabe!$C$10,"")</f>
      </c>
      <c r="BB20" s="1">
        <f>IF($BQ$196=11,Eingabe!$C$9,"")</f>
      </c>
      <c r="BC20" s="1">
        <f>IF($BQ$196=12,Eingabe!$C$8,"")</f>
      </c>
      <c r="BD20" s="1">
        <f>IF($BQ$196=13,Eingabe!$C$7,"")</f>
      </c>
      <c r="BE20" s="1">
        <f>IF($BQ$196=14,Eingabe!$C$6,"")</f>
      </c>
      <c r="BF20" s="1">
        <f>IF($BQ$196=15,Eingabe!$G$14,"")</f>
      </c>
      <c r="BG20" s="1">
        <f>IF($BQ$196=16,Eingabe!$G$13,"")</f>
      </c>
      <c r="BH20" s="1">
        <f>IF($BQ$196=17,Eingabe!$G$12,"")</f>
      </c>
      <c r="BI20" s="1">
        <f>IF($BQ$196=18,Eingabe!$G$11,"")</f>
      </c>
      <c r="BJ20" s="1">
        <f>IF($BQ$196=19,Eingabe!$G$10,"")</f>
      </c>
      <c r="BK20" s="1" t="str">
        <f t="shared" si="2"/>
        <v>Spieler 14</v>
      </c>
      <c r="BM20" s="1">
        <f t="shared" si="0"/>
        <v>0</v>
      </c>
      <c r="BN20" s="1">
        <v>2</v>
      </c>
      <c r="BO20" s="1">
        <f t="shared" si="1"/>
        <v>0</v>
      </c>
      <c r="BP20" s="1">
        <f t="shared" si="8"/>
        <v>2</v>
      </c>
      <c r="BQ20" s="1">
        <v>15</v>
      </c>
    </row>
    <row r="21" spans="1:69" ht="12.75">
      <c r="A21" t="str">
        <f>IF(Eingabe!$G$15="spielfrei","Tisch 9 :","Tisch 10 :")</f>
        <v>Tisch 10 :</v>
      </c>
      <c r="C21" s="15" t="str">
        <f>Eingabe!$G$6</f>
        <v>Spieler 11</v>
      </c>
      <c r="D21" s="1" t="s">
        <v>1</v>
      </c>
      <c r="E21" s="15" t="str">
        <f>Eingabe!$C$15</f>
        <v>Spieler 10</v>
      </c>
      <c r="F21" s="15"/>
      <c r="G21" s="1" t="s">
        <v>28</v>
      </c>
      <c r="H21" s="1" t="s">
        <v>1</v>
      </c>
      <c r="I21" s="5" t="str">
        <f t="shared" si="3"/>
        <v> </v>
      </c>
      <c r="J21" s="3"/>
      <c r="K21" s="15" t="str">
        <f>Eingabe!$C$15</f>
        <v>Spieler 10</v>
      </c>
      <c r="L21" s="1" t="s">
        <v>1</v>
      </c>
      <c r="M21" s="15" t="str">
        <f>Eingabe!$C$14</f>
        <v>Spieler 9</v>
      </c>
      <c r="N21" s="15"/>
      <c r="O21" s="1" t="s">
        <v>28</v>
      </c>
      <c r="P21" s="1" t="s">
        <v>1</v>
      </c>
      <c r="Q21" s="5" t="str">
        <f t="shared" si="4"/>
        <v> </v>
      </c>
      <c r="R21" s="3"/>
      <c r="S21" s="15" t="str">
        <f>Eingabe!$C$14</f>
        <v>Spieler 9</v>
      </c>
      <c r="T21" s="1" t="s">
        <v>1</v>
      </c>
      <c r="U21" s="15" t="str">
        <f>Eingabe!$C$13</f>
        <v>Spieler 8</v>
      </c>
      <c r="V21" s="15"/>
      <c r="W21" s="1" t="s">
        <v>28</v>
      </c>
      <c r="X21" s="1" t="s">
        <v>1</v>
      </c>
      <c r="Y21" s="5" t="str">
        <f t="shared" si="5"/>
        <v> </v>
      </c>
      <c r="Z21" s="3"/>
      <c r="AA21" s="15" t="str">
        <f>Eingabe!$C$13</f>
        <v>Spieler 8</v>
      </c>
      <c r="AB21" s="1" t="s">
        <v>1</v>
      </c>
      <c r="AC21" s="15" t="str">
        <f>Eingabe!$C$12</f>
        <v>Spieler 7</v>
      </c>
      <c r="AD21" s="15"/>
      <c r="AE21" s="1" t="s">
        <v>28</v>
      </c>
      <c r="AF21" s="1" t="s">
        <v>1</v>
      </c>
      <c r="AG21" s="5" t="str">
        <f t="shared" si="6"/>
        <v> </v>
      </c>
      <c r="AH21" s="3"/>
      <c r="AI21" s="15" t="str">
        <f>Eingabe!$C$12</f>
        <v>Spieler 7</v>
      </c>
      <c r="AJ21" s="1" t="s">
        <v>1</v>
      </c>
      <c r="AK21" s="15" t="str">
        <f>Eingabe!$C$11</f>
        <v>Spieler 6</v>
      </c>
      <c r="AL21" s="15"/>
      <c r="AM21" s="1" t="s">
        <v>28</v>
      </c>
      <c r="AN21" s="1" t="s">
        <v>1</v>
      </c>
      <c r="AO21" s="3" t="str">
        <f t="shared" si="7"/>
        <v> </v>
      </c>
      <c r="AP21" s="2"/>
      <c r="AQ21" s="1">
        <v>15</v>
      </c>
      <c r="AR21" s="1" t="str">
        <f>IF($BQ$196=1,Eingabe!$G$10,"")</f>
        <v>Spieler 15</v>
      </c>
      <c r="AS21" s="1">
        <f>IF($BQ$196=2,Eingabe!$G$9,"")</f>
      </c>
      <c r="AT21" s="1">
        <f>IF($BQ$196=3,Eingabe!$G$8,"")</f>
      </c>
      <c r="AU21" s="1">
        <f>IF($BQ$196=4,Eingabe!$G$7,"")</f>
      </c>
      <c r="AV21" s="1">
        <f>IF($BQ$196=5,Eingabe!$G$6,"")</f>
      </c>
      <c r="AW21" s="1">
        <f>IF($BQ$196=6,Eingabe!$C$15,"")</f>
      </c>
      <c r="AX21" s="1">
        <f>IF($BQ$196=7,Eingabe!$C$14,"")</f>
      </c>
      <c r="AY21" s="1">
        <f>IF($BQ$196=8,Eingabe!$C$13,"")</f>
      </c>
      <c r="AZ21" s="1">
        <f>IF($BQ$196=9,Eingabe!$C$12,"")</f>
      </c>
      <c r="BA21" s="1">
        <f>IF($BQ$196=10,Eingabe!$C$11,"")</f>
      </c>
      <c r="BB21" s="1">
        <f>IF($BQ$196=11,Eingabe!$C$10,"")</f>
      </c>
      <c r="BC21" s="1">
        <f>IF($BQ$196=12,Eingabe!$C$9,"")</f>
      </c>
      <c r="BD21" s="1">
        <f>IF($BQ$196=13,Eingabe!$C$8,"")</f>
      </c>
      <c r="BE21" s="1">
        <f>IF($BQ$196=14,Eingabe!$C$7,"")</f>
      </c>
      <c r="BF21" s="1">
        <f>IF($BQ$196=15,Eingabe!$C$6,"")</f>
      </c>
      <c r="BG21" s="1">
        <f>IF($BQ$196=16,Eingabe!$G$14,"")</f>
      </c>
      <c r="BH21" s="1">
        <f>IF($BQ$196=17,Eingabe!$G$13,"")</f>
      </c>
      <c r="BI21" s="1">
        <f>IF($BQ$196=18,Eingabe!$G$12,"")</f>
      </c>
      <c r="BJ21" s="1">
        <f>IF($BQ$196=19,Eingabe!$G$11,"")</f>
      </c>
      <c r="BK21" s="1" t="str">
        <f t="shared" si="2"/>
        <v>Spieler 15</v>
      </c>
      <c r="BM21" s="1">
        <f t="shared" si="0"/>
        <v>0</v>
      </c>
      <c r="BN21" s="1">
        <v>2</v>
      </c>
      <c r="BO21" s="1">
        <f t="shared" si="1"/>
        <v>0</v>
      </c>
      <c r="BP21" s="1">
        <f t="shared" si="8"/>
        <v>2</v>
      </c>
      <c r="BQ21" s="1">
        <v>16</v>
      </c>
    </row>
    <row r="22" spans="3:69" ht="12.75">
      <c r="C22" s="14"/>
      <c r="D22" s="1"/>
      <c r="E22" s="15"/>
      <c r="F22" s="15"/>
      <c r="G22" s="15"/>
      <c r="H22" s="1"/>
      <c r="I22" s="2"/>
      <c r="J22" s="2"/>
      <c r="K22" s="14"/>
      <c r="L22" s="1"/>
      <c r="M22" s="15"/>
      <c r="N22" s="15"/>
      <c r="O22" s="15"/>
      <c r="P22" s="1"/>
      <c r="Q22" s="2"/>
      <c r="R22" s="2"/>
      <c r="S22" s="14"/>
      <c r="T22" s="1"/>
      <c r="U22" s="15"/>
      <c r="V22" s="15"/>
      <c r="W22" s="15"/>
      <c r="X22" s="1"/>
      <c r="Y22" s="2"/>
      <c r="Z22" s="2"/>
      <c r="AA22" s="14"/>
      <c r="AB22" s="1"/>
      <c r="AC22" s="15"/>
      <c r="AD22" s="15"/>
      <c r="AE22" s="15"/>
      <c r="AF22" s="1"/>
      <c r="AG22" s="2"/>
      <c r="AH22" s="2"/>
      <c r="AI22" s="14"/>
      <c r="AJ22" s="1"/>
      <c r="AK22" s="15"/>
      <c r="AL22" s="15"/>
      <c r="AM22" s="15"/>
      <c r="AN22" s="1"/>
      <c r="AO22" s="2"/>
      <c r="AP22" s="2"/>
      <c r="AQ22" s="1">
        <v>16</v>
      </c>
      <c r="AR22" s="1" t="str">
        <f>IF($BQ$196=1,Eingabe!$G$11,"")</f>
        <v>Spieler 16</v>
      </c>
      <c r="AS22" s="1">
        <f>IF($BQ$196=2,Eingabe!$G$10,"")</f>
      </c>
      <c r="AT22" s="1">
        <f>IF($BQ$196=3,Eingabe!$G$9,"")</f>
      </c>
      <c r="AU22" s="1">
        <f>IF($BQ$196=4,Eingabe!$G$8,"")</f>
      </c>
      <c r="AV22" s="1">
        <f>IF($BQ$196=5,Eingabe!$G$7,"")</f>
      </c>
      <c r="AW22" s="1">
        <f>IF($BQ$196=6,Eingabe!$G$6,"")</f>
      </c>
      <c r="AX22" s="1">
        <f>IF($BQ$196=7,Eingabe!$C$15,"")</f>
      </c>
      <c r="AY22" s="1">
        <f>IF($BQ$196=8,Eingabe!$C$14,"")</f>
      </c>
      <c r="AZ22" s="1">
        <f>IF($BQ$196=9,Eingabe!$C$13,"")</f>
      </c>
      <c r="BA22" s="1">
        <f>IF($BQ$196=10,Eingabe!$C$12,"")</f>
      </c>
      <c r="BB22" s="1">
        <f>IF($BQ$196=11,Eingabe!$C$11,"")</f>
      </c>
      <c r="BC22" s="1">
        <f>IF($BQ$196=12,Eingabe!$C$10,"")</f>
      </c>
      <c r="BD22" s="1">
        <f>IF($BQ$196=13,Eingabe!$C$9,"")</f>
      </c>
      <c r="BE22" s="1">
        <f>IF($BQ$196=14,Eingabe!$C$8,"")</f>
      </c>
      <c r="BF22" s="1">
        <f>IF($BQ$196=15,Eingabe!$C$7,"")</f>
      </c>
      <c r="BG22" s="1">
        <f>IF($BQ$196=16,Eingabe!$C$6,"")</f>
      </c>
      <c r="BH22" s="1">
        <f>IF($BQ$196=17,Eingabe!$G$14,"")</f>
      </c>
      <c r="BI22" s="1">
        <f>IF($BQ$196=18,Eingabe!$G$13,"")</f>
      </c>
      <c r="BJ22" s="1">
        <f>IF($BQ$196=19,Eingabe!$G$12,"")</f>
      </c>
      <c r="BK22" s="1" t="str">
        <f t="shared" si="2"/>
        <v>Spieler 16</v>
      </c>
      <c r="BM22" s="1">
        <f t="shared" si="0"/>
        <v>0</v>
      </c>
      <c r="BN22" s="1">
        <v>2</v>
      </c>
      <c r="BO22" s="1">
        <f t="shared" si="1"/>
        <v>0</v>
      </c>
      <c r="BP22" s="1">
        <f t="shared" si="8"/>
        <v>2</v>
      </c>
      <c r="BQ22" s="1">
        <v>17</v>
      </c>
    </row>
    <row r="23" spans="5:69" ht="12.75">
      <c r="E23" s="15"/>
      <c r="F23" s="15"/>
      <c r="M23" s="15"/>
      <c r="N23" s="15"/>
      <c r="U23" s="15"/>
      <c r="V23" s="15"/>
      <c r="AC23" s="15"/>
      <c r="AD23" s="15"/>
      <c r="AK23" s="15"/>
      <c r="AL23" s="15"/>
      <c r="AO23" s="2"/>
      <c r="AP23" s="2"/>
      <c r="AQ23" s="1">
        <v>17</v>
      </c>
      <c r="AR23" s="1" t="str">
        <f>IF($BQ$196=1,Eingabe!$G$12,"")</f>
        <v>Spieler 17</v>
      </c>
      <c r="AS23" s="1">
        <f>IF($BQ$196=2,Eingabe!$G$11,"")</f>
      </c>
      <c r="AT23" s="1">
        <f>IF($BQ$196=3,Eingabe!$G$10,"")</f>
      </c>
      <c r="AU23" s="1">
        <f>IF($BQ$196=4,Eingabe!$G$9,"")</f>
      </c>
      <c r="AV23" s="1">
        <f>IF($BQ$196=5,Eingabe!$G$8,"")</f>
      </c>
      <c r="AW23" s="1">
        <f>IF($BQ$196=6,Eingabe!$G$7,"")</f>
      </c>
      <c r="AX23" s="1">
        <f>IF($BQ$196=7,Eingabe!$G$6,"")</f>
      </c>
      <c r="AY23" s="1">
        <f>IF($BQ$196=8,Eingabe!$C$15,"")</f>
      </c>
      <c r="AZ23" s="1">
        <f>IF($BQ$196=9,Eingabe!$C$14,"")</f>
      </c>
      <c r="BA23" s="1">
        <f>IF($BQ$196=10,Eingabe!$C$13,"")</f>
      </c>
      <c r="BB23" s="1">
        <f>IF($BQ$196=11,Eingabe!$C$12,"")</f>
      </c>
      <c r="BC23" s="1">
        <f>IF($BQ$196=12,Eingabe!$C$11,"")</f>
      </c>
      <c r="BD23" s="1">
        <f>IF($BQ$196=13,Eingabe!$C$10,"")</f>
      </c>
      <c r="BE23" s="1">
        <f>IF($BQ$196=14,Eingabe!$C$9,"")</f>
      </c>
      <c r="BF23" s="1">
        <f>IF($BQ$196=15,Eingabe!$C$8,"")</f>
      </c>
      <c r="BG23" s="1">
        <f>IF($BQ$196=16,Eingabe!$C$7,"")</f>
      </c>
      <c r="BH23" s="1">
        <f>IF($BQ$196=17,Eingabe!$C$6,"")</f>
      </c>
      <c r="BI23" s="1">
        <f>IF($BQ$196=18,Eingabe!$G$14,"")</f>
      </c>
      <c r="BJ23" s="1">
        <f>IF($BQ$196=19,Eingabe!$G$13,"")</f>
      </c>
      <c r="BK23" s="1" t="str">
        <f t="shared" si="2"/>
        <v>Spieler 17</v>
      </c>
      <c r="BM23" s="1">
        <f t="shared" si="0"/>
        <v>0</v>
      </c>
      <c r="BN23" s="1">
        <v>3</v>
      </c>
      <c r="BO23" s="1">
        <f t="shared" si="1"/>
        <v>0</v>
      </c>
      <c r="BP23" s="1">
        <f t="shared" si="8"/>
        <v>2</v>
      </c>
      <c r="BQ23" s="1">
        <v>18</v>
      </c>
    </row>
    <row r="24" spans="4:69" ht="12.75">
      <c r="D24" s="11" t="s">
        <v>30</v>
      </c>
      <c r="E24" s="15"/>
      <c r="F24" s="15"/>
      <c r="L24" s="11" t="s">
        <v>31</v>
      </c>
      <c r="M24" s="15"/>
      <c r="N24" s="15"/>
      <c r="T24" s="11" t="s">
        <v>32</v>
      </c>
      <c r="U24" s="15"/>
      <c r="V24" s="15"/>
      <c r="AB24" s="11" t="s">
        <v>33</v>
      </c>
      <c r="AC24" s="15"/>
      <c r="AD24" s="15"/>
      <c r="AJ24" s="11" t="s">
        <v>34</v>
      </c>
      <c r="AK24" s="15"/>
      <c r="AL24" s="15"/>
      <c r="AO24" s="2"/>
      <c r="AP24" s="2"/>
      <c r="AQ24" s="1">
        <v>18</v>
      </c>
      <c r="AR24" s="1" t="str">
        <f>IF($BQ$196=1,Eingabe!$G$13,"")</f>
        <v>Spieler 18</v>
      </c>
      <c r="AS24" s="1">
        <f>IF($BQ$196=2,Eingabe!$G$12,"")</f>
      </c>
      <c r="AT24" s="1">
        <f>IF($BQ$196=3,Eingabe!$G$11,"")</f>
      </c>
      <c r="AU24" s="1">
        <f>IF($BQ$196=4,Eingabe!$G$10,"")</f>
      </c>
      <c r="AV24" s="1">
        <f>IF($BQ$196=5,Eingabe!$G$9,"")</f>
      </c>
      <c r="AW24" s="1">
        <f>IF($BQ$196=6,Eingabe!$G$8,"")</f>
      </c>
      <c r="AX24" s="1">
        <f>IF($BQ$196=7,Eingabe!$G$7,"")</f>
      </c>
      <c r="AY24" s="1">
        <f>IF($BQ$196=8,Eingabe!$G$6,"")</f>
      </c>
      <c r="AZ24" s="1">
        <f>IF($BQ$196=9,Eingabe!$C$15,"")</f>
      </c>
      <c r="BA24" s="1">
        <f>IF($BQ$196=10,Eingabe!$C$14,"")</f>
      </c>
      <c r="BB24" s="1">
        <f>IF($BQ$196=11,Eingabe!$C$13,"")</f>
      </c>
      <c r="BC24" s="1">
        <f>IF($BQ$196=12,Eingabe!$C$12,"")</f>
      </c>
      <c r="BD24" s="1">
        <f>IF($BQ$196=13,Eingabe!$C$11,"")</f>
      </c>
      <c r="BE24" s="1">
        <f>IF($BQ$196=14,Eingabe!$C$10,"")</f>
      </c>
      <c r="BF24" s="1">
        <f>IF($BQ$196=15,Eingabe!$C$9,"")</f>
      </c>
      <c r="BG24" s="1">
        <f>IF($BQ$196=16,Eingabe!$C$8,"")</f>
      </c>
      <c r="BH24" s="1">
        <f>IF($BQ$196=17,Eingabe!$C$7,"")</f>
      </c>
      <c r="BI24" s="1">
        <f>IF($BQ$196=18,Eingabe!$C$6,"")</f>
      </c>
      <c r="BJ24" s="1">
        <f>IF($BQ$196=19,Eingabe!$G$14,"")</f>
      </c>
      <c r="BK24" s="1" t="str">
        <f t="shared" si="2"/>
        <v>Spieler 18</v>
      </c>
      <c r="BM24" s="1">
        <f t="shared" si="0"/>
        <v>0</v>
      </c>
      <c r="BN24" s="1">
        <v>3</v>
      </c>
      <c r="BO24" s="1">
        <f t="shared" si="1"/>
        <v>0</v>
      </c>
      <c r="BP24" s="1">
        <f t="shared" si="8"/>
        <v>2</v>
      </c>
      <c r="BQ24" s="1">
        <v>19</v>
      </c>
    </row>
    <row r="25" spans="3:69" ht="6" customHeight="1">
      <c r="C25" s="11"/>
      <c r="E25" s="15"/>
      <c r="F25" s="15"/>
      <c r="M25" s="15"/>
      <c r="N25" s="15"/>
      <c r="U25" s="15"/>
      <c r="V25" s="15"/>
      <c r="AC25" s="15"/>
      <c r="AD25" s="15"/>
      <c r="AK25" s="15"/>
      <c r="AL25" s="15"/>
      <c r="AO25" s="2"/>
      <c r="AP25" s="2"/>
      <c r="AQ25" s="1">
        <v>19</v>
      </c>
      <c r="AR25" s="1" t="str">
        <f>IF($BQ$196=1,Eingabe!$G$14,"")</f>
        <v>Spieler 19</v>
      </c>
      <c r="AS25" s="1">
        <f>IF($BQ$196=2,Eingabe!$G$13,"")</f>
      </c>
      <c r="AT25" s="1">
        <f>IF($BQ$196=3,Eingabe!$G$12,"")</f>
      </c>
      <c r="AU25" s="1">
        <f>IF($BQ$196=4,Eingabe!$G$11,"")</f>
      </c>
      <c r="AV25" s="1">
        <f>IF($BQ$196=5,Eingabe!$G$10,"")</f>
      </c>
      <c r="AW25" s="1">
        <f>IF($BQ$196=6,Eingabe!$G$9,"")</f>
      </c>
      <c r="AX25" s="1">
        <f>IF($BQ$196=7,Eingabe!$G$8,"")</f>
      </c>
      <c r="AY25" s="1">
        <f>IF($BQ$196=8,Eingabe!$G$7,"")</f>
      </c>
      <c r="AZ25" s="1">
        <f>IF($BQ$196=9,Eingabe!$G$6,"")</f>
      </c>
      <c r="BA25" s="1">
        <f>IF($BQ$196=10,Eingabe!$C$15,"")</f>
      </c>
      <c r="BB25" s="1">
        <f>IF($BQ$196=11,Eingabe!$C$14,"")</f>
      </c>
      <c r="BC25" s="1">
        <f>IF($BQ$196=12,Eingabe!$C$13,"")</f>
      </c>
      <c r="BD25" s="1">
        <f>IF($BQ$196=13,Eingabe!$C$12,"")</f>
      </c>
      <c r="BE25" s="1">
        <f>IF($BQ$196=14,Eingabe!$C$11,"")</f>
      </c>
      <c r="BF25" s="1">
        <f>IF($BQ$196=15,Eingabe!$C$10,"")</f>
      </c>
      <c r="BG25" s="1">
        <f>IF($BQ$196=16,Eingabe!$C$9,"")</f>
      </c>
      <c r="BH25" s="1">
        <f>IF($BQ$196=17,Eingabe!$C$8,"")</f>
      </c>
      <c r="BI25" s="1">
        <f>IF($BQ$196=18,Eingabe!$C$7,"")</f>
      </c>
      <c r="BJ25" s="1">
        <f>IF($BQ$196=19,Eingabe!$C$6,"")</f>
      </c>
      <c r="BK25" s="1" t="str">
        <f t="shared" si="2"/>
        <v>Spieler 19</v>
      </c>
      <c r="BM25" s="1">
        <f t="shared" si="0"/>
        <v>0</v>
      </c>
      <c r="BN25" s="1">
        <v>3</v>
      </c>
      <c r="BO25" s="1">
        <f t="shared" si="1"/>
        <v>0</v>
      </c>
      <c r="BP25" s="1">
        <f t="shared" si="8"/>
        <v>3</v>
      </c>
      <c r="BQ25" s="1">
        <v>20</v>
      </c>
    </row>
    <row r="26" spans="1:69" ht="12.75">
      <c r="A26" t="str">
        <f>IF(Eingabe!$G$15="spielfrei","","Tisch 1 :")</f>
        <v>Tisch 1 :</v>
      </c>
      <c r="C26" s="15" t="str">
        <f>Eingabe!$G$10</f>
        <v>Spieler 15</v>
      </c>
      <c r="D26" s="1" t="s">
        <v>1</v>
      </c>
      <c r="E26" s="15" t="str">
        <f>Eingabe!$G$15</f>
        <v>Spieler 20 / spielfrei</v>
      </c>
      <c r="F26" s="15"/>
      <c r="G26" s="1" t="s">
        <v>28</v>
      </c>
      <c r="H26" s="1" t="str">
        <f>IF($B$7="spielfrei"," ",":")</f>
        <v>:</v>
      </c>
      <c r="I26" s="5" t="str">
        <f aca="true" t="shared" si="9" ref="I26:I35">IF(G26&lt;=1,1-G26," ")</f>
        <v> </v>
      </c>
      <c r="J26" s="3"/>
      <c r="K26" s="15" t="str">
        <f>Eingabe!$G$9</f>
        <v>Spieler 14</v>
      </c>
      <c r="L26" s="1" t="s">
        <v>1</v>
      </c>
      <c r="M26" s="15" t="str">
        <f>Eingabe!$G$15</f>
        <v>Spieler 20 / spielfrei</v>
      </c>
      <c r="N26" s="15"/>
      <c r="O26" s="1" t="s">
        <v>28</v>
      </c>
      <c r="P26" s="1" t="str">
        <f>IF($B$7="spielfrei"," ",":")</f>
        <v>:</v>
      </c>
      <c r="Q26" s="5" t="str">
        <f aca="true" t="shared" si="10" ref="Q26:Q35">IF(O26&lt;=1,1-O26," ")</f>
        <v> </v>
      </c>
      <c r="R26" s="3"/>
      <c r="S26" s="15" t="str">
        <f>Eingabe!$G$8</f>
        <v>Spieler 13</v>
      </c>
      <c r="T26" s="1" t="s">
        <v>1</v>
      </c>
      <c r="U26" s="15" t="str">
        <f>Eingabe!$G$15</f>
        <v>Spieler 20 / spielfrei</v>
      </c>
      <c r="V26" s="15"/>
      <c r="W26" s="1" t="s">
        <v>28</v>
      </c>
      <c r="X26" s="1" t="str">
        <f>IF($B$7="spielfrei"," ",":")</f>
        <v>:</v>
      </c>
      <c r="Y26" s="5" t="str">
        <f aca="true" t="shared" si="11" ref="Y26:Y35">IF(W26&lt;=1,1-W26," ")</f>
        <v> </v>
      </c>
      <c r="Z26" s="3"/>
      <c r="AA26" s="15" t="str">
        <f>Eingabe!$G$7</f>
        <v>Spieler 12</v>
      </c>
      <c r="AB26" s="1" t="s">
        <v>1</v>
      </c>
      <c r="AC26" s="15" t="str">
        <f>Eingabe!$G$15</f>
        <v>Spieler 20 / spielfrei</v>
      </c>
      <c r="AD26" s="15"/>
      <c r="AE26" s="1" t="s">
        <v>28</v>
      </c>
      <c r="AF26" s="1" t="str">
        <f>IF($B$7="spielfrei"," ",":")</f>
        <v>:</v>
      </c>
      <c r="AG26" s="5" t="str">
        <f aca="true" t="shared" si="12" ref="AG26:AG35">IF(AE26&lt;=1,1-AE26," ")</f>
        <v> </v>
      </c>
      <c r="AH26" s="3"/>
      <c r="AI26" s="15" t="str">
        <f>Eingabe!$G$6</f>
        <v>Spieler 11</v>
      </c>
      <c r="AJ26" s="1" t="s">
        <v>1</v>
      </c>
      <c r="AK26" s="15" t="str">
        <f>Eingabe!$G$15</f>
        <v>Spieler 20 / spielfrei</v>
      </c>
      <c r="AL26" s="15"/>
      <c r="AM26" s="1" t="s">
        <v>28</v>
      </c>
      <c r="AN26" s="1" t="str">
        <f>IF($B$7="spielfrei"," ",":")</f>
        <v>:</v>
      </c>
      <c r="AO26" s="3" t="str">
        <f aca="true" t="shared" si="13" ref="AO26:AO35">IF(AM26&lt;=1,1-AM26," ")</f>
        <v> </v>
      </c>
      <c r="AP26" s="2"/>
      <c r="AQ26" s="1">
        <v>20</v>
      </c>
      <c r="AR26" s="1" t="str">
        <f>IF($BQ$196=1,Eingabe!$G$15,"")</f>
        <v>Spieler 20 / spielfrei</v>
      </c>
      <c r="AS26" s="1">
        <f>IF($BQ$196=2,Eingabe!$G$15,"")</f>
      </c>
      <c r="AT26" s="1">
        <f>IF($BQ$196=3,Eingabe!$G$15,"")</f>
      </c>
      <c r="AU26" s="1">
        <f>IF($BQ$196=4,Eingabe!$G$15,"")</f>
      </c>
      <c r="AV26" s="1">
        <f>IF($BQ$196=5,Eingabe!$G$15,"")</f>
      </c>
      <c r="AW26" s="1">
        <f>IF($BQ$196=6,Eingabe!$G$15,"")</f>
      </c>
      <c r="AX26" s="1">
        <f>IF($BQ$196=7,Eingabe!$G$15,"")</f>
      </c>
      <c r="AY26" s="1">
        <f>IF($BQ$196=8,Eingabe!$G$15,"")</f>
      </c>
      <c r="AZ26" s="1">
        <f>IF($BQ$196=9,Eingabe!$G$15,"")</f>
      </c>
      <c r="BA26" s="1">
        <f>IF($BQ$196=10,Eingabe!$G$15,"")</f>
      </c>
      <c r="BB26" s="1">
        <f>IF($BQ$196=11,Eingabe!$G$15,"")</f>
      </c>
      <c r="BC26" s="1">
        <f>IF($BQ$196=12,Eingabe!$G$15,"")</f>
      </c>
      <c r="BD26" s="1">
        <f>IF($BQ$196=13,Eingabe!$G$15,"")</f>
      </c>
      <c r="BE26" s="1">
        <f>IF($BQ$196=14,Eingabe!$G$15,"")</f>
      </c>
      <c r="BF26" s="1">
        <f>IF($BQ$196=15,Eingabe!$G$15,"")</f>
      </c>
      <c r="BG26" s="1">
        <f>IF($BQ$196=16,Eingabe!$G$15,"")</f>
      </c>
      <c r="BH26" s="1">
        <f>IF($BQ$196=17,Eingabe!$G$15,"")</f>
      </c>
      <c r="BI26" s="1">
        <f>IF($BQ$196=18,Eingabe!$G$15,"")</f>
      </c>
      <c r="BJ26" s="1">
        <f>IF($BQ$196=19,Eingabe!$G$15,"")</f>
      </c>
      <c r="BK26" s="1" t="str">
        <f t="shared" si="2"/>
        <v>Spieler 20 / spielfrei</v>
      </c>
      <c r="BM26" s="1">
        <f t="shared" si="0"/>
        <v>0</v>
      </c>
      <c r="BN26" s="1">
        <v>3</v>
      </c>
      <c r="BO26" s="1">
        <f t="shared" si="1"/>
        <v>0</v>
      </c>
      <c r="BP26" s="1">
        <f t="shared" si="8"/>
        <v>3</v>
      </c>
      <c r="BQ26" s="1">
        <v>21</v>
      </c>
    </row>
    <row r="27" spans="1:69" ht="12.75">
      <c r="A27" t="str">
        <f>IF(Eingabe!$G$15="spielfrei","Tisch 1 :","Tisch 2 :")</f>
        <v>Tisch 2 :</v>
      </c>
      <c r="C27" s="15" t="str">
        <f>Eingabe!$G$9</f>
        <v>Spieler 14</v>
      </c>
      <c r="D27" s="1" t="s">
        <v>1</v>
      </c>
      <c r="E27" s="15" t="str">
        <f>Eingabe!$G$11</f>
        <v>Spieler 16</v>
      </c>
      <c r="F27" s="15"/>
      <c r="G27" s="1" t="s">
        <v>28</v>
      </c>
      <c r="H27" s="1" t="s">
        <v>1</v>
      </c>
      <c r="I27" s="5" t="str">
        <f t="shared" si="9"/>
        <v> </v>
      </c>
      <c r="J27" s="3"/>
      <c r="K27" s="15" t="str">
        <f>Eingabe!$G$8</f>
        <v>Spieler 13</v>
      </c>
      <c r="L27" s="1" t="s">
        <v>1</v>
      </c>
      <c r="M27" s="15" t="str">
        <f>Eingabe!$G$10</f>
        <v>Spieler 15</v>
      </c>
      <c r="N27" s="15"/>
      <c r="O27" s="1" t="s">
        <v>28</v>
      </c>
      <c r="P27" s="1" t="s">
        <v>1</v>
      </c>
      <c r="Q27" s="5" t="str">
        <f t="shared" si="10"/>
        <v> </v>
      </c>
      <c r="R27" s="3"/>
      <c r="S27" s="15" t="str">
        <f>Eingabe!$G$7</f>
        <v>Spieler 12</v>
      </c>
      <c r="T27" s="1" t="s">
        <v>1</v>
      </c>
      <c r="U27" s="15" t="str">
        <f>Eingabe!$G$9</f>
        <v>Spieler 14</v>
      </c>
      <c r="V27" s="15"/>
      <c r="W27" s="1" t="s">
        <v>28</v>
      </c>
      <c r="X27" s="1" t="s">
        <v>1</v>
      </c>
      <c r="Y27" s="5" t="str">
        <f t="shared" si="11"/>
        <v> </v>
      </c>
      <c r="Z27" s="3"/>
      <c r="AA27" s="15" t="str">
        <f>Eingabe!$G$6</f>
        <v>Spieler 11</v>
      </c>
      <c r="AB27" s="1" t="s">
        <v>1</v>
      </c>
      <c r="AC27" s="15" t="str">
        <f>Eingabe!$G$8</f>
        <v>Spieler 13</v>
      </c>
      <c r="AD27" s="15"/>
      <c r="AE27" s="1" t="s">
        <v>28</v>
      </c>
      <c r="AF27" s="1" t="s">
        <v>1</v>
      </c>
      <c r="AG27" s="5" t="str">
        <f t="shared" si="12"/>
        <v> </v>
      </c>
      <c r="AH27" s="3"/>
      <c r="AI27" s="15" t="str">
        <f>Eingabe!$C$15</f>
        <v>Spieler 10</v>
      </c>
      <c r="AJ27" s="1" t="s">
        <v>1</v>
      </c>
      <c r="AK27" s="15" t="str">
        <f>Eingabe!$G$7</f>
        <v>Spieler 12</v>
      </c>
      <c r="AL27" s="15"/>
      <c r="AM27" s="1" t="s">
        <v>28</v>
      </c>
      <c r="AN27" s="1" t="s">
        <v>1</v>
      </c>
      <c r="AO27" s="3" t="str">
        <f t="shared" si="13"/>
        <v> </v>
      </c>
      <c r="AP27" s="2"/>
      <c r="BM27" s="1">
        <f t="shared" si="0"/>
        <v>0</v>
      </c>
      <c r="BN27" s="1">
        <v>3</v>
      </c>
      <c r="BO27" s="1">
        <f t="shared" si="1"/>
        <v>0</v>
      </c>
      <c r="BP27" s="1">
        <f t="shared" si="8"/>
        <v>3</v>
      </c>
      <c r="BQ27" s="1">
        <v>22</v>
      </c>
    </row>
    <row r="28" spans="1:69" ht="12.75">
      <c r="A28" t="str">
        <f>IF(Eingabe!$G$15="spielfrei","Tisch 2 :","Tisch 3 :")</f>
        <v>Tisch 3 :</v>
      </c>
      <c r="C28" s="15" t="str">
        <f>Eingabe!$G$8</f>
        <v>Spieler 13</v>
      </c>
      <c r="D28" s="1" t="s">
        <v>1</v>
      </c>
      <c r="E28" s="15" t="str">
        <f>Eingabe!$G$12</f>
        <v>Spieler 17</v>
      </c>
      <c r="F28" s="15"/>
      <c r="G28" s="1" t="s">
        <v>28</v>
      </c>
      <c r="H28" s="1" t="s">
        <v>1</v>
      </c>
      <c r="I28" s="5" t="str">
        <f t="shared" si="9"/>
        <v> </v>
      </c>
      <c r="J28" s="3"/>
      <c r="K28" s="15" t="str">
        <f>Eingabe!$G$7</f>
        <v>Spieler 12</v>
      </c>
      <c r="L28" s="1" t="s">
        <v>1</v>
      </c>
      <c r="M28" s="15" t="str">
        <f>Eingabe!$G$11</f>
        <v>Spieler 16</v>
      </c>
      <c r="N28" s="15"/>
      <c r="O28" s="1" t="s">
        <v>28</v>
      </c>
      <c r="P28" s="1" t="s">
        <v>1</v>
      </c>
      <c r="Q28" s="5" t="str">
        <f t="shared" si="10"/>
        <v> </v>
      </c>
      <c r="R28" s="3"/>
      <c r="S28" s="15" t="str">
        <f>Eingabe!$G$6</f>
        <v>Spieler 11</v>
      </c>
      <c r="T28" s="1" t="s">
        <v>1</v>
      </c>
      <c r="U28" s="15" t="str">
        <f>Eingabe!$G$10</f>
        <v>Spieler 15</v>
      </c>
      <c r="V28" s="15"/>
      <c r="W28" s="1" t="s">
        <v>28</v>
      </c>
      <c r="X28" s="1" t="s">
        <v>1</v>
      </c>
      <c r="Y28" s="5" t="str">
        <f t="shared" si="11"/>
        <v> </v>
      </c>
      <c r="Z28" s="3"/>
      <c r="AA28" s="15" t="str">
        <f>Eingabe!$C$15</f>
        <v>Spieler 10</v>
      </c>
      <c r="AB28" s="1" t="s">
        <v>1</v>
      </c>
      <c r="AC28" s="15" t="str">
        <f>Eingabe!$G$9</f>
        <v>Spieler 14</v>
      </c>
      <c r="AD28" s="15"/>
      <c r="AE28" s="1" t="s">
        <v>28</v>
      </c>
      <c r="AF28" s="1" t="s">
        <v>1</v>
      </c>
      <c r="AG28" s="5" t="str">
        <f t="shared" si="12"/>
        <v> </v>
      </c>
      <c r="AH28" s="3"/>
      <c r="AI28" s="15" t="str">
        <f>Eingabe!$C$14</f>
        <v>Spieler 9</v>
      </c>
      <c r="AJ28" s="1" t="s">
        <v>1</v>
      </c>
      <c r="AK28" s="15" t="str">
        <f>Eingabe!$G$8</f>
        <v>Spieler 13</v>
      </c>
      <c r="AL28" s="15"/>
      <c r="AM28" s="1" t="s">
        <v>28</v>
      </c>
      <c r="AN28" s="1" t="s">
        <v>1</v>
      </c>
      <c r="AO28" s="3" t="str">
        <f t="shared" si="13"/>
        <v> </v>
      </c>
      <c r="AP28" s="2"/>
      <c r="BM28" s="1">
        <f t="shared" si="0"/>
        <v>0</v>
      </c>
      <c r="BN28" s="1">
        <v>3</v>
      </c>
      <c r="BO28" s="1">
        <f t="shared" si="1"/>
        <v>0</v>
      </c>
      <c r="BP28" s="1">
        <f t="shared" si="8"/>
        <v>3</v>
      </c>
      <c r="BQ28" s="1">
        <v>23</v>
      </c>
    </row>
    <row r="29" spans="1:69" ht="12.75">
      <c r="A29" t="str">
        <f>IF(Eingabe!$G$15="spielfrei","Tisch 3 :","Tisch 4 :")</f>
        <v>Tisch 4 :</v>
      </c>
      <c r="C29" s="15" t="str">
        <f>Eingabe!$G$7</f>
        <v>Spieler 12</v>
      </c>
      <c r="D29" s="1" t="s">
        <v>1</v>
      </c>
      <c r="E29" s="15" t="str">
        <f>Eingabe!$G$13</f>
        <v>Spieler 18</v>
      </c>
      <c r="F29" s="15"/>
      <c r="G29" s="1" t="s">
        <v>28</v>
      </c>
      <c r="H29" s="1" t="s">
        <v>1</v>
      </c>
      <c r="I29" s="5" t="str">
        <f t="shared" si="9"/>
        <v> </v>
      </c>
      <c r="J29" s="3"/>
      <c r="K29" s="15" t="str">
        <f>Eingabe!$G$6</f>
        <v>Spieler 11</v>
      </c>
      <c r="L29" s="1" t="s">
        <v>1</v>
      </c>
      <c r="M29" s="15" t="str">
        <f>Eingabe!$G$12</f>
        <v>Spieler 17</v>
      </c>
      <c r="N29" s="15"/>
      <c r="O29" s="1" t="s">
        <v>28</v>
      </c>
      <c r="P29" s="1" t="s">
        <v>1</v>
      </c>
      <c r="Q29" s="5" t="str">
        <f t="shared" si="10"/>
        <v> </v>
      </c>
      <c r="R29" s="3"/>
      <c r="S29" s="15" t="str">
        <f>Eingabe!$C$15</f>
        <v>Spieler 10</v>
      </c>
      <c r="T29" s="1" t="s">
        <v>1</v>
      </c>
      <c r="U29" s="15" t="str">
        <f>Eingabe!$G$11</f>
        <v>Spieler 16</v>
      </c>
      <c r="V29" s="15"/>
      <c r="W29" s="1" t="s">
        <v>28</v>
      </c>
      <c r="X29" s="1" t="s">
        <v>1</v>
      </c>
      <c r="Y29" s="5" t="str">
        <f t="shared" si="11"/>
        <v> </v>
      </c>
      <c r="Z29" s="3"/>
      <c r="AA29" s="15" t="str">
        <f>Eingabe!$C$14</f>
        <v>Spieler 9</v>
      </c>
      <c r="AB29" s="1" t="s">
        <v>1</v>
      </c>
      <c r="AC29" s="15" t="str">
        <f>Eingabe!$G$10</f>
        <v>Spieler 15</v>
      </c>
      <c r="AD29" s="15"/>
      <c r="AE29" s="1" t="s">
        <v>28</v>
      </c>
      <c r="AF29" s="1" t="s">
        <v>1</v>
      </c>
      <c r="AG29" s="5" t="str">
        <f t="shared" si="12"/>
        <v> </v>
      </c>
      <c r="AH29" s="3"/>
      <c r="AI29" s="15" t="str">
        <f>Eingabe!$C$13</f>
        <v>Spieler 8</v>
      </c>
      <c r="AJ29" s="1" t="s">
        <v>1</v>
      </c>
      <c r="AK29" s="15" t="str">
        <f>Eingabe!$G$9</f>
        <v>Spieler 14</v>
      </c>
      <c r="AL29" s="15"/>
      <c r="AM29" s="1" t="s">
        <v>28</v>
      </c>
      <c r="AN29" s="1" t="s">
        <v>1</v>
      </c>
      <c r="AO29" s="3" t="str">
        <f t="shared" si="13"/>
        <v> </v>
      </c>
      <c r="AP29" s="2"/>
      <c r="BM29" s="1">
        <f t="shared" si="0"/>
        <v>0</v>
      </c>
      <c r="BN29" s="1">
        <v>3</v>
      </c>
      <c r="BO29" s="1">
        <f t="shared" si="1"/>
        <v>0</v>
      </c>
      <c r="BP29" s="1">
        <f t="shared" si="8"/>
        <v>3</v>
      </c>
      <c r="BQ29" s="1">
        <v>24</v>
      </c>
    </row>
    <row r="30" spans="1:69" ht="12.75">
      <c r="A30" t="str">
        <f>IF(Eingabe!$G$15="spielfrei","Tisch 4 :","Tisch 5 :")</f>
        <v>Tisch 5 :</v>
      </c>
      <c r="C30" s="15" t="str">
        <f>Eingabe!$G$6</f>
        <v>Spieler 11</v>
      </c>
      <c r="D30" s="1" t="s">
        <v>1</v>
      </c>
      <c r="E30" s="15" t="str">
        <f>Eingabe!$G$14</f>
        <v>Spieler 19</v>
      </c>
      <c r="F30" s="15"/>
      <c r="G30" s="1" t="s">
        <v>28</v>
      </c>
      <c r="H30" s="1" t="s">
        <v>1</v>
      </c>
      <c r="I30" s="5" t="str">
        <f t="shared" si="9"/>
        <v> </v>
      </c>
      <c r="J30" s="3"/>
      <c r="K30" s="15" t="str">
        <f>Eingabe!$C$15</f>
        <v>Spieler 10</v>
      </c>
      <c r="L30" s="1" t="s">
        <v>1</v>
      </c>
      <c r="M30" s="15" t="str">
        <f>Eingabe!$G$13</f>
        <v>Spieler 18</v>
      </c>
      <c r="N30" s="15"/>
      <c r="O30" s="1" t="s">
        <v>28</v>
      </c>
      <c r="P30" s="1" t="s">
        <v>1</v>
      </c>
      <c r="Q30" s="5" t="str">
        <f t="shared" si="10"/>
        <v> </v>
      </c>
      <c r="R30" s="3"/>
      <c r="S30" s="15" t="str">
        <f>Eingabe!$C$14</f>
        <v>Spieler 9</v>
      </c>
      <c r="T30" s="1" t="s">
        <v>1</v>
      </c>
      <c r="U30" s="15" t="str">
        <f>Eingabe!$G$12</f>
        <v>Spieler 17</v>
      </c>
      <c r="V30" s="15"/>
      <c r="W30" s="1" t="s">
        <v>28</v>
      </c>
      <c r="X30" s="1" t="s">
        <v>1</v>
      </c>
      <c r="Y30" s="5" t="str">
        <f t="shared" si="11"/>
        <v> </v>
      </c>
      <c r="Z30" s="3"/>
      <c r="AA30" s="15" t="str">
        <f>Eingabe!$C$13</f>
        <v>Spieler 8</v>
      </c>
      <c r="AB30" s="1" t="s">
        <v>1</v>
      </c>
      <c r="AC30" s="15" t="str">
        <f>Eingabe!$G$11</f>
        <v>Spieler 16</v>
      </c>
      <c r="AD30" s="15"/>
      <c r="AE30" s="1" t="s">
        <v>28</v>
      </c>
      <c r="AF30" s="1" t="s">
        <v>1</v>
      </c>
      <c r="AG30" s="5" t="str">
        <f t="shared" si="12"/>
        <v> </v>
      </c>
      <c r="AH30" s="3"/>
      <c r="AI30" s="15" t="str">
        <f>Eingabe!$C$12</f>
        <v>Spieler 7</v>
      </c>
      <c r="AJ30" s="1" t="s">
        <v>1</v>
      </c>
      <c r="AK30" s="15" t="str">
        <f>Eingabe!$G$10</f>
        <v>Spieler 15</v>
      </c>
      <c r="AL30" s="15"/>
      <c r="AM30" s="1" t="s">
        <v>28</v>
      </c>
      <c r="AN30" s="1" t="s">
        <v>1</v>
      </c>
      <c r="AO30" s="3" t="str">
        <f t="shared" si="13"/>
        <v> </v>
      </c>
      <c r="AP30" s="2"/>
      <c r="BM30" s="1">
        <f t="shared" si="0"/>
        <v>0</v>
      </c>
      <c r="BN30" s="1">
        <v>3</v>
      </c>
      <c r="BO30" s="1">
        <f t="shared" si="1"/>
        <v>0</v>
      </c>
      <c r="BP30" s="1">
        <f t="shared" si="8"/>
        <v>3</v>
      </c>
      <c r="BQ30" s="1">
        <v>25</v>
      </c>
    </row>
    <row r="31" spans="1:69" ht="12.75">
      <c r="A31" t="str">
        <f>IF(Eingabe!$G$15="spielfrei","Tisch 5 :","Tisch 6 :")</f>
        <v>Tisch 6 :</v>
      </c>
      <c r="C31" s="15" t="str">
        <f>Eingabe!$C$15</f>
        <v>Spieler 10</v>
      </c>
      <c r="D31" s="1" t="s">
        <v>1</v>
      </c>
      <c r="E31" s="15" t="str">
        <f>Eingabe!$C$6</f>
        <v>Spieler 1</v>
      </c>
      <c r="F31" s="15"/>
      <c r="G31" s="1" t="s">
        <v>28</v>
      </c>
      <c r="H31" s="1" t="s">
        <v>1</v>
      </c>
      <c r="I31" s="5" t="str">
        <f t="shared" si="9"/>
        <v> </v>
      </c>
      <c r="J31" s="3"/>
      <c r="K31" s="15" t="str">
        <f>Eingabe!$C$14</f>
        <v>Spieler 9</v>
      </c>
      <c r="L31" s="1" t="s">
        <v>1</v>
      </c>
      <c r="M31" s="15" t="str">
        <f>Eingabe!$G$14</f>
        <v>Spieler 19</v>
      </c>
      <c r="N31" s="15"/>
      <c r="O31" s="1" t="s">
        <v>28</v>
      </c>
      <c r="P31" s="1" t="s">
        <v>1</v>
      </c>
      <c r="Q31" s="5" t="str">
        <f t="shared" si="10"/>
        <v> </v>
      </c>
      <c r="R31" s="3"/>
      <c r="S31" s="15" t="str">
        <f>Eingabe!$C$13</f>
        <v>Spieler 8</v>
      </c>
      <c r="T31" s="1" t="s">
        <v>1</v>
      </c>
      <c r="U31" s="15" t="str">
        <f>Eingabe!$G$13</f>
        <v>Spieler 18</v>
      </c>
      <c r="V31" s="15"/>
      <c r="W31" s="1" t="s">
        <v>28</v>
      </c>
      <c r="X31" s="1" t="s">
        <v>1</v>
      </c>
      <c r="Y31" s="5" t="str">
        <f t="shared" si="11"/>
        <v> </v>
      </c>
      <c r="Z31" s="3"/>
      <c r="AA31" s="15" t="str">
        <f>Eingabe!$C$12</f>
        <v>Spieler 7</v>
      </c>
      <c r="AB31" s="1" t="s">
        <v>1</v>
      </c>
      <c r="AC31" s="15" t="str">
        <f>Eingabe!$G$12</f>
        <v>Spieler 17</v>
      </c>
      <c r="AD31" s="15"/>
      <c r="AE31" s="1" t="s">
        <v>28</v>
      </c>
      <c r="AF31" s="1" t="s">
        <v>1</v>
      </c>
      <c r="AG31" s="5" t="str">
        <f t="shared" si="12"/>
        <v> </v>
      </c>
      <c r="AH31" s="3"/>
      <c r="AI31" s="15" t="str">
        <f>Eingabe!$C$11</f>
        <v>Spieler 6</v>
      </c>
      <c r="AJ31" s="1" t="s">
        <v>1</v>
      </c>
      <c r="AK31" s="15" t="str">
        <f>Eingabe!$G$11</f>
        <v>Spieler 16</v>
      </c>
      <c r="AL31" s="15"/>
      <c r="AM31" s="1" t="s">
        <v>28</v>
      </c>
      <c r="AN31" s="1" t="s">
        <v>1</v>
      </c>
      <c r="AO31" s="3" t="str">
        <f t="shared" si="13"/>
        <v> </v>
      </c>
      <c r="AP31" s="2"/>
      <c r="BM31" s="1">
        <f t="shared" si="0"/>
        <v>0</v>
      </c>
      <c r="BN31" s="1">
        <v>3</v>
      </c>
      <c r="BO31" s="1">
        <f t="shared" si="1"/>
        <v>0</v>
      </c>
      <c r="BP31" s="1">
        <f t="shared" si="8"/>
        <v>3</v>
      </c>
      <c r="BQ31" s="1">
        <v>26</v>
      </c>
    </row>
    <row r="32" spans="1:69" ht="12.75">
      <c r="A32" t="str">
        <f>IF(Eingabe!$G$15="spielfrei","Tisch 6 :","Tisch 7 :")</f>
        <v>Tisch 7 :</v>
      </c>
      <c r="C32" s="15" t="str">
        <f>Eingabe!$C$14</f>
        <v>Spieler 9</v>
      </c>
      <c r="D32" s="1" t="s">
        <v>1</v>
      </c>
      <c r="E32" s="15" t="str">
        <f>Eingabe!$C$7</f>
        <v>Spieler 2</v>
      </c>
      <c r="F32" s="15"/>
      <c r="G32" s="1" t="s">
        <v>28</v>
      </c>
      <c r="H32" s="1" t="s">
        <v>1</v>
      </c>
      <c r="I32" s="5" t="str">
        <f t="shared" si="9"/>
        <v> </v>
      </c>
      <c r="J32" s="3"/>
      <c r="K32" s="15" t="str">
        <f>Eingabe!$C$13</f>
        <v>Spieler 8</v>
      </c>
      <c r="L32" s="1" t="s">
        <v>1</v>
      </c>
      <c r="M32" s="15" t="str">
        <f>Eingabe!$C$6</f>
        <v>Spieler 1</v>
      </c>
      <c r="N32" s="15"/>
      <c r="O32" s="1" t="s">
        <v>28</v>
      </c>
      <c r="P32" s="1" t="s">
        <v>1</v>
      </c>
      <c r="Q32" s="5" t="str">
        <f t="shared" si="10"/>
        <v> </v>
      </c>
      <c r="R32" s="3"/>
      <c r="S32" s="15" t="str">
        <f>Eingabe!$C$12</f>
        <v>Spieler 7</v>
      </c>
      <c r="T32" s="1" t="s">
        <v>1</v>
      </c>
      <c r="U32" s="15" t="str">
        <f>Eingabe!$G$14</f>
        <v>Spieler 19</v>
      </c>
      <c r="V32" s="15"/>
      <c r="W32" s="1" t="s">
        <v>28</v>
      </c>
      <c r="X32" s="1" t="s">
        <v>1</v>
      </c>
      <c r="Y32" s="5" t="str">
        <f t="shared" si="11"/>
        <v> </v>
      </c>
      <c r="Z32" s="3"/>
      <c r="AA32" s="15" t="str">
        <f>Eingabe!$C$11</f>
        <v>Spieler 6</v>
      </c>
      <c r="AB32" s="1" t="s">
        <v>1</v>
      </c>
      <c r="AC32" s="15" t="str">
        <f>Eingabe!$G$13</f>
        <v>Spieler 18</v>
      </c>
      <c r="AD32" s="15"/>
      <c r="AE32" s="1" t="s">
        <v>28</v>
      </c>
      <c r="AF32" s="1" t="s">
        <v>1</v>
      </c>
      <c r="AG32" s="5" t="str">
        <f t="shared" si="12"/>
        <v> </v>
      </c>
      <c r="AH32" s="3"/>
      <c r="AI32" s="15" t="str">
        <f>Eingabe!$C$10</f>
        <v>Spieler 5</v>
      </c>
      <c r="AJ32" s="1" t="s">
        <v>1</v>
      </c>
      <c r="AK32" s="15" t="str">
        <f>Eingabe!$G$12</f>
        <v>Spieler 17</v>
      </c>
      <c r="AL32" s="15"/>
      <c r="AM32" s="1" t="s">
        <v>28</v>
      </c>
      <c r="AN32" s="1" t="s">
        <v>1</v>
      </c>
      <c r="AO32" s="3" t="str">
        <f t="shared" si="13"/>
        <v> </v>
      </c>
      <c r="AP32" s="2"/>
      <c r="BM32" s="1">
        <f t="shared" si="0"/>
        <v>0</v>
      </c>
      <c r="BN32" s="1">
        <v>4</v>
      </c>
      <c r="BO32" s="1">
        <f t="shared" si="1"/>
        <v>0</v>
      </c>
      <c r="BP32" s="1">
        <f t="shared" si="8"/>
        <v>3</v>
      </c>
      <c r="BQ32" s="1">
        <v>27</v>
      </c>
    </row>
    <row r="33" spans="1:69" ht="12.75">
      <c r="A33" t="str">
        <f>IF(Eingabe!$G$15="spielfrei","Tisch 7 :","Tisch 8 :")</f>
        <v>Tisch 8 :</v>
      </c>
      <c r="C33" s="15" t="str">
        <f>Eingabe!$C$13</f>
        <v>Spieler 8</v>
      </c>
      <c r="D33" s="1" t="s">
        <v>1</v>
      </c>
      <c r="E33" s="15" t="str">
        <f>Eingabe!$C$8</f>
        <v>Spieler 3</v>
      </c>
      <c r="F33" s="15"/>
      <c r="G33" s="1" t="s">
        <v>28</v>
      </c>
      <c r="H33" s="1" t="s">
        <v>1</v>
      </c>
      <c r="I33" s="5" t="str">
        <f t="shared" si="9"/>
        <v> </v>
      </c>
      <c r="J33" s="3"/>
      <c r="K33" s="15" t="str">
        <f>Eingabe!$C$12</f>
        <v>Spieler 7</v>
      </c>
      <c r="L33" s="1" t="s">
        <v>1</v>
      </c>
      <c r="M33" s="15" t="str">
        <f>Eingabe!$C$7</f>
        <v>Spieler 2</v>
      </c>
      <c r="N33" s="15"/>
      <c r="O33" s="1" t="s">
        <v>28</v>
      </c>
      <c r="P33" s="1" t="s">
        <v>1</v>
      </c>
      <c r="Q33" s="5" t="str">
        <f t="shared" si="10"/>
        <v> </v>
      </c>
      <c r="R33" s="3"/>
      <c r="S33" s="15" t="str">
        <f>Eingabe!$C$11</f>
        <v>Spieler 6</v>
      </c>
      <c r="T33" s="1" t="s">
        <v>1</v>
      </c>
      <c r="U33" s="15" t="str">
        <f>Eingabe!$C$6</f>
        <v>Spieler 1</v>
      </c>
      <c r="V33" s="15"/>
      <c r="W33" s="1" t="s">
        <v>28</v>
      </c>
      <c r="X33" s="1" t="s">
        <v>1</v>
      </c>
      <c r="Y33" s="5" t="str">
        <f t="shared" si="11"/>
        <v> </v>
      </c>
      <c r="Z33" s="3"/>
      <c r="AA33" s="15" t="str">
        <f>Eingabe!$C$10</f>
        <v>Spieler 5</v>
      </c>
      <c r="AB33" s="1" t="s">
        <v>1</v>
      </c>
      <c r="AC33" s="15" t="str">
        <f>Eingabe!$G$14</f>
        <v>Spieler 19</v>
      </c>
      <c r="AD33" s="15"/>
      <c r="AE33" s="1" t="s">
        <v>28</v>
      </c>
      <c r="AF33" s="1" t="s">
        <v>1</v>
      </c>
      <c r="AG33" s="5" t="str">
        <f t="shared" si="12"/>
        <v> </v>
      </c>
      <c r="AH33" s="3"/>
      <c r="AI33" s="15" t="str">
        <f>Eingabe!$C$9</f>
        <v>Spieler 4</v>
      </c>
      <c r="AJ33" s="1" t="s">
        <v>1</v>
      </c>
      <c r="AK33" s="15" t="str">
        <f>Eingabe!$G$13</f>
        <v>Spieler 18</v>
      </c>
      <c r="AL33" s="15"/>
      <c r="AM33" s="1" t="s">
        <v>28</v>
      </c>
      <c r="AN33" s="1" t="s">
        <v>1</v>
      </c>
      <c r="AO33" s="3" t="str">
        <f t="shared" si="13"/>
        <v> </v>
      </c>
      <c r="AP33" s="2"/>
      <c r="BM33" s="1">
        <f t="shared" si="0"/>
        <v>0</v>
      </c>
      <c r="BN33" s="1">
        <v>4</v>
      </c>
      <c r="BO33" s="1">
        <f t="shared" si="1"/>
        <v>0</v>
      </c>
      <c r="BP33" s="1">
        <f t="shared" si="8"/>
        <v>3</v>
      </c>
      <c r="BQ33" s="1">
        <v>28</v>
      </c>
    </row>
    <row r="34" spans="1:69" ht="12.75">
      <c r="A34" t="str">
        <f>IF(Eingabe!$G$15="spielfrei","Tisch 8 :","Tisch 9 :")</f>
        <v>Tisch 9 :</v>
      </c>
      <c r="C34" s="15" t="str">
        <f>Eingabe!$C$12</f>
        <v>Spieler 7</v>
      </c>
      <c r="D34" s="1" t="s">
        <v>1</v>
      </c>
      <c r="E34" s="15" t="str">
        <f>Eingabe!$C$9</f>
        <v>Spieler 4</v>
      </c>
      <c r="F34" s="15"/>
      <c r="G34" s="1" t="s">
        <v>28</v>
      </c>
      <c r="H34" s="1" t="s">
        <v>1</v>
      </c>
      <c r="I34" s="5" t="str">
        <f t="shared" si="9"/>
        <v> </v>
      </c>
      <c r="J34" s="3"/>
      <c r="K34" s="15" t="str">
        <f>Eingabe!$C$11</f>
        <v>Spieler 6</v>
      </c>
      <c r="L34" s="1" t="s">
        <v>1</v>
      </c>
      <c r="M34" s="15" t="str">
        <f>Eingabe!$C$8</f>
        <v>Spieler 3</v>
      </c>
      <c r="N34" s="15"/>
      <c r="O34" s="1" t="s">
        <v>28</v>
      </c>
      <c r="P34" s="1" t="s">
        <v>1</v>
      </c>
      <c r="Q34" s="5" t="str">
        <f t="shared" si="10"/>
        <v> </v>
      </c>
      <c r="R34" s="3"/>
      <c r="S34" s="15" t="str">
        <f>Eingabe!$C$10</f>
        <v>Spieler 5</v>
      </c>
      <c r="T34" s="1" t="s">
        <v>1</v>
      </c>
      <c r="U34" s="15" t="str">
        <f>Eingabe!$C$7</f>
        <v>Spieler 2</v>
      </c>
      <c r="V34" s="15"/>
      <c r="W34" s="1" t="s">
        <v>28</v>
      </c>
      <c r="X34" s="1" t="s">
        <v>1</v>
      </c>
      <c r="Y34" s="5" t="str">
        <f t="shared" si="11"/>
        <v> </v>
      </c>
      <c r="Z34" s="3"/>
      <c r="AA34" s="15" t="str">
        <f>Eingabe!$C$9</f>
        <v>Spieler 4</v>
      </c>
      <c r="AB34" s="1" t="s">
        <v>1</v>
      </c>
      <c r="AC34" s="15" t="str">
        <f>Eingabe!$C$6</f>
        <v>Spieler 1</v>
      </c>
      <c r="AD34" s="15"/>
      <c r="AE34" s="1" t="s">
        <v>28</v>
      </c>
      <c r="AF34" s="1" t="s">
        <v>1</v>
      </c>
      <c r="AG34" s="5" t="str">
        <f t="shared" si="12"/>
        <v> </v>
      </c>
      <c r="AH34" s="3"/>
      <c r="AI34" s="15" t="str">
        <f>Eingabe!$C$8</f>
        <v>Spieler 3</v>
      </c>
      <c r="AJ34" s="1" t="s">
        <v>1</v>
      </c>
      <c r="AK34" s="15" t="str">
        <f>Eingabe!$G$14</f>
        <v>Spieler 19</v>
      </c>
      <c r="AL34" s="15"/>
      <c r="AM34" s="1" t="s">
        <v>28</v>
      </c>
      <c r="AN34" s="1" t="s">
        <v>1</v>
      </c>
      <c r="AO34" s="3" t="str">
        <f t="shared" si="13"/>
        <v> </v>
      </c>
      <c r="AP34" s="2"/>
      <c r="BM34" s="1">
        <f t="shared" si="0"/>
        <v>0</v>
      </c>
      <c r="BN34" s="1">
        <v>4</v>
      </c>
      <c r="BO34" s="1">
        <f t="shared" si="1"/>
        <v>0</v>
      </c>
      <c r="BP34" s="1">
        <f t="shared" si="8"/>
        <v>3</v>
      </c>
      <c r="BQ34" s="1">
        <v>29</v>
      </c>
    </row>
    <row r="35" spans="1:69" ht="12.75">
      <c r="A35" t="str">
        <f>IF(Eingabe!$G$15="spielfrei","Tisch 9 :","Tisch 10 :")</f>
        <v>Tisch 10 :</v>
      </c>
      <c r="C35" s="15" t="str">
        <f>Eingabe!$C$11</f>
        <v>Spieler 6</v>
      </c>
      <c r="D35" s="1" t="s">
        <v>1</v>
      </c>
      <c r="E35" s="15" t="str">
        <f>Eingabe!$C$10</f>
        <v>Spieler 5</v>
      </c>
      <c r="F35" s="15"/>
      <c r="G35" s="1" t="s">
        <v>28</v>
      </c>
      <c r="H35" s="1" t="s">
        <v>1</v>
      </c>
      <c r="I35" s="5" t="str">
        <f t="shared" si="9"/>
        <v> </v>
      </c>
      <c r="J35" s="3"/>
      <c r="K35" s="15" t="str">
        <f>Eingabe!$C$10</f>
        <v>Spieler 5</v>
      </c>
      <c r="L35" s="1" t="s">
        <v>1</v>
      </c>
      <c r="M35" s="15" t="str">
        <f>Eingabe!$C$9</f>
        <v>Spieler 4</v>
      </c>
      <c r="N35" s="15"/>
      <c r="O35" s="1" t="s">
        <v>28</v>
      </c>
      <c r="P35" s="1" t="s">
        <v>1</v>
      </c>
      <c r="Q35" s="5" t="str">
        <f t="shared" si="10"/>
        <v> </v>
      </c>
      <c r="R35" s="3"/>
      <c r="S35" s="15" t="str">
        <f>Eingabe!$C$9</f>
        <v>Spieler 4</v>
      </c>
      <c r="T35" s="1" t="s">
        <v>1</v>
      </c>
      <c r="U35" s="15" t="str">
        <f>Eingabe!$C$8</f>
        <v>Spieler 3</v>
      </c>
      <c r="V35" s="15"/>
      <c r="W35" s="1" t="s">
        <v>28</v>
      </c>
      <c r="X35" s="1" t="s">
        <v>1</v>
      </c>
      <c r="Y35" s="5" t="str">
        <f t="shared" si="11"/>
        <v> </v>
      </c>
      <c r="Z35" s="3"/>
      <c r="AA35" s="15" t="str">
        <f>Eingabe!$C$8</f>
        <v>Spieler 3</v>
      </c>
      <c r="AB35" s="1" t="s">
        <v>1</v>
      </c>
      <c r="AC35" s="15" t="str">
        <f>Eingabe!$C$7</f>
        <v>Spieler 2</v>
      </c>
      <c r="AD35" s="15"/>
      <c r="AE35" s="1" t="s">
        <v>28</v>
      </c>
      <c r="AF35" s="1" t="s">
        <v>1</v>
      </c>
      <c r="AG35" s="5" t="str">
        <f t="shared" si="12"/>
        <v> </v>
      </c>
      <c r="AH35" s="3"/>
      <c r="AI35" s="15" t="str">
        <f>Eingabe!$C$7</f>
        <v>Spieler 2</v>
      </c>
      <c r="AJ35" s="1" t="s">
        <v>1</v>
      </c>
      <c r="AK35" s="15" t="str">
        <f>Eingabe!$C$6</f>
        <v>Spieler 1</v>
      </c>
      <c r="AL35" s="15"/>
      <c r="AM35" s="1" t="s">
        <v>28</v>
      </c>
      <c r="AN35" s="1" t="s">
        <v>1</v>
      </c>
      <c r="AO35" s="3" t="str">
        <f t="shared" si="13"/>
        <v> </v>
      </c>
      <c r="AP35" s="2"/>
      <c r="BM35" s="1">
        <f t="shared" si="0"/>
        <v>0</v>
      </c>
      <c r="BN35" s="1">
        <v>4</v>
      </c>
      <c r="BO35" s="1">
        <f t="shared" si="1"/>
        <v>0</v>
      </c>
      <c r="BP35" s="1">
        <f t="shared" si="8"/>
        <v>4</v>
      </c>
      <c r="BQ35" s="1">
        <v>30</v>
      </c>
    </row>
    <row r="36" spans="5:69" ht="12.75">
      <c r="E36" s="15"/>
      <c r="F36" s="15"/>
      <c r="M36" s="15"/>
      <c r="N36" s="15"/>
      <c r="U36" s="15"/>
      <c r="V36" s="15"/>
      <c r="AC36" s="15"/>
      <c r="AD36" s="15"/>
      <c r="AK36" s="15"/>
      <c r="AL36" s="15"/>
      <c r="AO36" s="2"/>
      <c r="AP36" s="2"/>
      <c r="BM36" s="1">
        <f t="shared" si="0"/>
        <v>0</v>
      </c>
      <c r="BN36" s="1">
        <v>4</v>
      </c>
      <c r="BO36" s="1">
        <f t="shared" si="1"/>
        <v>0</v>
      </c>
      <c r="BP36" s="1">
        <f t="shared" si="8"/>
        <v>4</v>
      </c>
      <c r="BQ36" s="1">
        <v>31</v>
      </c>
    </row>
    <row r="37" spans="5:69" ht="12.75">
      <c r="E37" s="15"/>
      <c r="F37" s="15"/>
      <c r="M37" s="15"/>
      <c r="N37" s="15"/>
      <c r="U37" s="15"/>
      <c r="V37" s="15"/>
      <c r="AC37" s="15"/>
      <c r="AD37" s="15"/>
      <c r="AK37" s="15"/>
      <c r="AL37" s="15"/>
      <c r="AO37" s="2"/>
      <c r="AP37" s="2"/>
      <c r="BM37" s="1">
        <f t="shared" si="0"/>
        <v>0</v>
      </c>
      <c r="BN37" s="1">
        <v>4</v>
      </c>
      <c r="BO37" s="1">
        <f t="shared" si="1"/>
        <v>0</v>
      </c>
      <c r="BP37" s="1">
        <f t="shared" si="8"/>
        <v>4</v>
      </c>
      <c r="BQ37" s="1">
        <v>32</v>
      </c>
    </row>
    <row r="38" spans="4:69" ht="12.75">
      <c r="D38" s="11" t="s">
        <v>35</v>
      </c>
      <c r="E38" s="15"/>
      <c r="F38" s="15"/>
      <c r="L38" s="11" t="s">
        <v>36</v>
      </c>
      <c r="M38" s="15"/>
      <c r="N38" s="15"/>
      <c r="T38" s="11" t="s">
        <v>37</v>
      </c>
      <c r="U38" s="15"/>
      <c r="V38" s="15"/>
      <c r="AB38" s="11" t="s">
        <v>38</v>
      </c>
      <c r="AC38" s="15"/>
      <c r="AD38" s="15"/>
      <c r="AJ38" s="11" t="s">
        <v>39</v>
      </c>
      <c r="AK38" s="15"/>
      <c r="AL38" s="15"/>
      <c r="AO38" s="2"/>
      <c r="AP38" s="2"/>
      <c r="BM38" s="1">
        <f t="shared" si="0"/>
        <v>0</v>
      </c>
      <c r="BN38" s="1">
        <v>4</v>
      </c>
      <c r="BO38" s="1">
        <f t="shared" si="1"/>
        <v>0</v>
      </c>
      <c r="BP38" s="1">
        <f t="shared" si="8"/>
        <v>4</v>
      </c>
      <c r="BQ38" s="1">
        <v>33</v>
      </c>
    </row>
    <row r="39" spans="3:69" ht="6" customHeight="1">
      <c r="C39" s="11"/>
      <c r="E39" s="15"/>
      <c r="F39" s="15"/>
      <c r="M39" s="15"/>
      <c r="N39" s="15"/>
      <c r="U39" s="15"/>
      <c r="V39" s="15"/>
      <c r="AC39" s="15"/>
      <c r="AD39" s="15"/>
      <c r="AK39" s="15"/>
      <c r="AL39" s="15"/>
      <c r="AO39" s="2"/>
      <c r="AP39" s="2"/>
      <c r="BM39" s="1">
        <f t="shared" si="0"/>
        <v>0</v>
      </c>
      <c r="BN39" s="1">
        <v>4</v>
      </c>
      <c r="BO39" s="1">
        <f t="shared" si="1"/>
        <v>0</v>
      </c>
      <c r="BP39" s="1">
        <f t="shared" si="8"/>
        <v>4</v>
      </c>
      <c r="BQ39" s="1">
        <v>34</v>
      </c>
    </row>
    <row r="40" spans="1:69" ht="12.75">
      <c r="A40" t="str">
        <f>IF(Eingabe!$G$15="spielfrei","","Tisch 1 :")</f>
        <v>Tisch 1 :</v>
      </c>
      <c r="C40" s="15" t="str">
        <f>Eingabe!$C$15</f>
        <v>Spieler 10</v>
      </c>
      <c r="D40" s="1" t="s">
        <v>1</v>
      </c>
      <c r="E40" s="15" t="str">
        <f>Eingabe!$G$15</f>
        <v>Spieler 20 / spielfrei</v>
      </c>
      <c r="F40" s="15"/>
      <c r="G40" s="1" t="s">
        <v>28</v>
      </c>
      <c r="H40" s="1" t="str">
        <f>IF($B$7="spielfrei"," ",":")</f>
        <v>:</v>
      </c>
      <c r="I40" s="5" t="str">
        <f aca="true" t="shared" si="14" ref="I40:I49">IF(G40&lt;=1,1-G40," ")</f>
        <v> </v>
      </c>
      <c r="J40" s="3"/>
      <c r="K40" s="15" t="str">
        <f>Eingabe!$C$14</f>
        <v>Spieler 9</v>
      </c>
      <c r="L40" s="1" t="s">
        <v>1</v>
      </c>
      <c r="M40" s="15" t="str">
        <f>Eingabe!$G$15</f>
        <v>Spieler 20 / spielfrei</v>
      </c>
      <c r="N40" s="15"/>
      <c r="O40" s="1" t="s">
        <v>28</v>
      </c>
      <c r="P40" s="1" t="str">
        <f>IF($B$7="spielfrei"," ",":")</f>
        <v>:</v>
      </c>
      <c r="Q40" s="5" t="str">
        <f aca="true" t="shared" si="15" ref="Q40:Q49">IF(O40&lt;=1,1-O40," ")</f>
        <v> </v>
      </c>
      <c r="R40" s="3"/>
      <c r="S40" s="15" t="str">
        <f>Eingabe!$C$13</f>
        <v>Spieler 8</v>
      </c>
      <c r="T40" s="1" t="s">
        <v>1</v>
      </c>
      <c r="U40" s="15" t="str">
        <f>Eingabe!$G$15</f>
        <v>Spieler 20 / spielfrei</v>
      </c>
      <c r="V40" s="15"/>
      <c r="W40" s="1" t="s">
        <v>28</v>
      </c>
      <c r="X40" s="1" t="str">
        <f>IF($B$7="spielfrei"," ",":")</f>
        <v>:</v>
      </c>
      <c r="Y40" s="5" t="str">
        <f aca="true" t="shared" si="16" ref="Y40:Y49">IF(W40&lt;=1,1-W40," ")</f>
        <v> </v>
      </c>
      <c r="Z40" s="3"/>
      <c r="AA40" s="15" t="str">
        <f>Eingabe!$C$12</f>
        <v>Spieler 7</v>
      </c>
      <c r="AB40" s="1" t="s">
        <v>1</v>
      </c>
      <c r="AC40" s="15" t="str">
        <f>Eingabe!$G$15</f>
        <v>Spieler 20 / spielfrei</v>
      </c>
      <c r="AD40" s="15"/>
      <c r="AE40" s="1" t="s">
        <v>28</v>
      </c>
      <c r="AF40" s="1" t="str">
        <f>IF($B$7="spielfrei"," ",":")</f>
        <v>:</v>
      </c>
      <c r="AG40" s="5" t="str">
        <f aca="true" t="shared" si="17" ref="AG40:AG49">IF(AE40&lt;=1,1-AE40," ")</f>
        <v> </v>
      </c>
      <c r="AH40" s="3"/>
      <c r="AI40" s="15" t="str">
        <f>Eingabe!$C$11</f>
        <v>Spieler 6</v>
      </c>
      <c r="AJ40" s="1" t="s">
        <v>1</v>
      </c>
      <c r="AK40" s="15" t="str">
        <f>Eingabe!$G$15</f>
        <v>Spieler 20 / spielfrei</v>
      </c>
      <c r="AL40" s="15"/>
      <c r="AM40" s="1" t="s">
        <v>28</v>
      </c>
      <c r="AN40" s="1" t="str">
        <f>IF($B$7="spielfrei"," ",":")</f>
        <v>:</v>
      </c>
      <c r="AO40" s="3" t="str">
        <f aca="true" t="shared" si="18" ref="AO40:AO49">IF(AM40&lt;=1,1-AM40," ")</f>
        <v> </v>
      </c>
      <c r="AP40" s="2"/>
      <c r="BM40" s="1">
        <f t="shared" si="0"/>
        <v>0</v>
      </c>
      <c r="BN40" s="1">
        <v>4</v>
      </c>
      <c r="BO40" s="1">
        <f t="shared" si="1"/>
        <v>0</v>
      </c>
      <c r="BP40" s="1">
        <f t="shared" si="8"/>
        <v>4</v>
      </c>
      <c r="BQ40" s="1">
        <v>35</v>
      </c>
    </row>
    <row r="41" spans="1:69" ht="12.75">
      <c r="A41" t="str">
        <f>IF(Eingabe!$G$15="spielfrei","Tisch 1 :","Tisch 2 :")</f>
        <v>Tisch 2 :</v>
      </c>
      <c r="C41" s="15" t="str">
        <f>Eingabe!$C$14</f>
        <v>Spieler 9</v>
      </c>
      <c r="D41" s="1" t="s">
        <v>1</v>
      </c>
      <c r="E41" s="15" t="str">
        <f>Eingabe!$G$6</f>
        <v>Spieler 11</v>
      </c>
      <c r="F41" s="15"/>
      <c r="G41" s="1" t="s">
        <v>28</v>
      </c>
      <c r="H41" s="1" t="s">
        <v>1</v>
      </c>
      <c r="I41" s="5" t="str">
        <f t="shared" si="14"/>
        <v> </v>
      </c>
      <c r="J41" s="3"/>
      <c r="K41" s="15" t="str">
        <f>Eingabe!$C$13</f>
        <v>Spieler 8</v>
      </c>
      <c r="L41" s="1" t="s">
        <v>1</v>
      </c>
      <c r="M41" s="15" t="str">
        <f>Eingabe!$C$15</f>
        <v>Spieler 10</v>
      </c>
      <c r="N41" s="15"/>
      <c r="O41" s="1" t="s">
        <v>28</v>
      </c>
      <c r="P41" s="1" t="s">
        <v>1</v>
      </c>
      <c r="Q41" s="5" t="str">
        <f t="shared" si="15"/>
        <v> </v>
      </c>
      <c r="R41" s="3"/>
      <c r="S41" s="15" t="str">
        <f>Eingabe!$C$12</f>
        <v>Spieler 7</v>
      </c>
      <c r="T41" s="1" t="s">
        <v>1</v>
      </c>
      <c r="U41" s="15" t="str">
        <f>Eingabe!$C$14</f>
        <v>Spieler 9</v>
      </c>
      <c r="V41" s="15"/>
      <c r="W41" s="1" t="s">
        <v>28</v>
      </c>
      <c r="X41" s="1" t="s">
        <v>1</v>
      </c>
      <c r="Y41" s="5" t="str">
        <f t="shared" si="16"/>
        <v> </v>
      </c>
      <c r="Z41" s="3"/>
      <c r="AA41" s="15" t="str">
        <f>Eingabe!$C$11</f>
        <v>Spieler 6</v>
      </c>
      <c r="AB41" s="1" t="s">
        <v>1</v>
      </c>
      <c r="AC41" s="15" t="str">
        <f>Eingabe!$C$13</f>
        <v>Spieler 8</v>
      </c>
      <c r="AD41" s="15"/>
      <c r="AE41" s="1" t="s">
        <v>28</v>
      </c>
      <c r="AF41" s="1" t="s">
        <v>1</v>
      </c>
      <c r="AG41" s="5" t="str">
        <f t="shared" si="17"/>
        <v> </v>
      </c>
      <c r="AH41" s="3"/>
      <c r="AI41" s="15" t="str">
        <f>Eingabe!$C$10</f>
        <v>Spieler 5</v>
      </c>
      <c r="AJ41" s="1" t="s">
        <v>1</v>
      </c>
      <c r="AK41" s="15" t="str">
        <f>Eingabe!$C$12</f>
        <v>Spieler 7</v>
      </c>
      <c r="AL41" s="15"/>
      <c r="AM41" s="1" t="s">
        <v>28</v>
      </c>
      <c r="AN41" s="1" t="s">
        <v>1</v>
      </c>
      <c r="AO41" s="3" t="str">
        <f t="shared" si="18"/>
        <v> </v>
      </c>
      <c r="AP41" s="2"/>
      <c r="BM41" s="1">
        <f t="shared" si="0"/>
        <v>0</v>
      </c>
      <c r="BN41" s="1">
        <v>5</v>
      </c>
      <c r="BO41" s="1">
        <f t="shared" si="1"/>
        <v>0</v>
      </c>
      <c r="BP41" s="1">
        <f t="shared" si="8"/>
        <v>4</v>
      </c>
      <c r="BQ41" s="1">
        <v>36</v>
      </c>
    </row>
    <row r="42" spans="1:69" ht="12.75">
      <c r="A42" t="str">
        <f>IF(Eingabe!$G$15="spielfrei","Tisch 2 :","Tisch 3 :")</f>
        <v>Tisch 3 :</v>
      </c>
      <c r="C42" s="15" t="str">
        <f>Eingabe!$C$13</f>
        <v>Spieler 8</v>
      </c>
      <c r="D42" s="1" t="s">
        <v>1</v>
      </c>
      <c r="E42" s="15" t="str">
        <f>Eingabe!$G$7</f>
        <v>Spieler 12</v>
      </c>
      <c r="F42" s="15"/>
      <c r="G42" s="1" t="s">
        <v>28</v>
      </c>
      <c r="H42" s="1" t="s">
        <v>1</v>
      </c>
      <c r="I42" s="5" t="str">
        <f t="shared" si="14"/>
        <v> </v>
      </c>
      <c r="J42" s="3"/>
      <c r="K42" s="15" t="str">
        <f>Eingabe!$C$12</f>
        <v>Spieler 7</v>
      </c>
      <c r="L42" s="1" t="s">
        <v>1</v>
      </c>
      <c r="M42" s="15" t="str">
        <f>Eingabe!$G$6</f>
        <v>Spieler 11</v>
      </c>
      <c r="N42" s="15"/>
      <c r="O42" s="1" t="s">
        <v>28</v>
      </c>
      <c r="P42" s="1" t="s">
        <v>1</v>
      </c>
      <c r="Q42" s="5" t="str">
        <f t="shared" si="15"/>
        <v> </v>
      </c>
      <c r="R42" s="3"/>
      <c r="S42" s="15" t="str">
        <f>Eingabe!$C$11</f>
        <v>Spieler 6</v>
      </c>
      <c r="T42" s="1" t="s">
        <v>1</v>
      </c>
      <c r="U42" s="15" t="str">
        <f>Eingabe!$C$15</f>
        <v>Spieler 10</v>
      </c>
      <c r="V42" s="15"/>
      <c r="W42" s="1" t="s">
        <v>28</v>
      </c>
      <c r="X42" s="1" t="s">
        <v>1</v>
      </c>
      <c r="Y42" s="5" t="str">
        <f t="shared" si="16"/>
        <v> </v>
      </c>
      <c r="Z42" s="3"/>
      <c r="AA42" s="15" t="str">
        <f>Eingabe!$C$10</f>
        <v>Spieler 5</v>
      </c>
      <c r="AB42" s="1" t="s">
        <v>1</v>
      </c>
      <c r="AC42" s="15" t="str">
        <f>Eingabe!$C$14</f>
        <v>Spieler 9</v>
      </c>
      <c r="AD42" s="15"/>
      <c r="AE42" s="1" t="s">
        <v>28</v>
      </c>
      <c r="AF42" s="1" t="s">
        <v>1</v>
      </c>
      <c r="AG42" s="5" t="str">
        <f t="shared" si="17"/>
        <v> </v>
      </c>
      <c r="AH42" s="3"/>
      <c r="AI42" s="15" t="str">
        <f>Eingabe!$C$9</f>
        <v>Spieler 4</v>
      </c>
      <c r="AJ42" s="1" t="s">
        <v>1</v>
      </c>
      <c r="AK42" s="15" t="str">
        <f>Eingabe!$C$13</f>
        <v>Spieler 8</v>
      </c>
      <c r="AL42" s="15"/>
      <c r="AM42" s="1" t="s">
        <v>28</v>
      </c>
      <c r="AN42" s="1" t="s">
        <v>1</v>
      </c>
      <c r="AO42" s="3" t="str">
        <f t="shared" si="18"/>
        <v> </v>
      </c>
      <c r="AP42" s="2"/>
      <c r="BM42" s="1">
        <f t="shared" si="0"/>
        <v>0</v>
      </c>
      <c r="BN42" s="1">
        <v>5</v>
      </c>
      <c r="BO42" s="1">
        <f t="shared" si="1"/>
        <v>0</v>
      </c>
      <c r="BP42" s="1">
        <f t="shared" si="8"/>
        <v>4</v>
      </c>
      <c r="BQ42" s="1">
        <v>37</v>
      </c>
    </row>
    <row r="43" spans="1:69" ht="12.75">
      <c r="A43" t="str">
        <f>IF(Eingabe!$G$15="spielfrei","Tisch 3 :","Tisch 4 :")</f>
        <v>Tisch 4 :</v>
      </c>
      <c r="C43" s="15" t="str">
        <f>Eingabe!$C$12</f>
        <v>Spieler 7</v>
      </c>
      <c r="D43" s="1" t="s">
        <v>1</v>
      </c>
      <c r="E43" s="15" t="str">
        <f>Eingabe!$G$8</f>
        <v>Spieler 13</v>
      </c>
      <c r="F43" s="15"/>
      <c r="G43" s="1" t="s">
        <v>28</v>
      </c>
      <c r="H43" s="1" t="s">
        <v>1</v>
      </c>
      <c r="I43" s="5" t="str">
        <f t="shared" si="14"/>
        <v> </v>
      </c>
      <c r="J43" s="3"/>
      <c r="K43" s="15" t="str">
        <f>Eingabe!$C$11</f>
        <v>Spieler 6</v>
      </c>
      <c r="L43" s="1" t="s">
        <v>1</v>
      </c>
      <c r="M43" s="15" t="str">
        <f>Eingabe!$G$7</f>
        <v>Spieler 12</v>
      </c>
      <c r="N43" s="15"/>
      <c r="O43" s="1" t="s">
        <v>28</v>
      </c>
      <c r="P43" s="1" t="s">
        <v>1</v>
      </c>
      <c r="Q43" s="5" t="str">
        <f t="shared" si="15"/>
        <v> </v>
      </c>
      <c r="R43" s="3"/>
      <c r="S43" s="15" t="str">
        <f>Eingabe!$C$10</f>
        <v>Spieler 5</v>
      </c>
      <c r="T43" s="1" t="s">
        <v>1</v>
      </c>
      <c r="U43" s="15" t="str">
        <f>Eingabe!$G$6</f>
        <v>Spieler 11</v>
      </c>
      <c r="V43" s="15"/>
      <c r="W43" s="1" t="s">
        <v>28</v>
      </c>
      <c r="X43" s="1" t="s">
        <v>1</v>
      </c>
      <c r="Y43" s="5" t="str">
        <f t="shared" si="16"/>
        <v> </v>
      </c>
      <c r="Z43" s="3"/>
      <c r="AA43" s="15" t="str">
        <f>Eingabe!$C$9</f>
        <v>Spieler 4</v>
      </c>
      <c r="AB43" s="1" t="s">
        <v>1</v>
      </c>
      <c r="AC43" s="15" t="str">
        <f>Eingabe!$C$15</f>
        <v>Spieler 10</v>
      </c>
      <c r="AD43" s="15"/>
      <c r="AE43" s="1" t="s">
        <v>28</v>
      </c>
      <c r="AF43" s="1" t="s">
        <v>1</v>
      </c>
      <c r="AG43" s="5" t="str">
        <f t="shared" si="17"/>
        <v> </v>
      </c>
      <c r="AH43" s="3"/>
      <c r="AI43" s="15" t="str">
        <f>Eingabe!$C$8</f>
        <v>Spieler 3</v>
      </c>
      <c r="AJ43" s="1" t="s">
        <v>1</v>
      </c>
      <c r="AK43" s="15" t="str">
        <f>Eingabe!$C$14</f>
        <v>Spieler 9</v>
      </c>
      <c r="AL43" s="15"/>
      <c r="AM43" s="1" t="s">
        <v>28</v>
      </c>
      <c r="AN43" s="1" t="s">
        <v>1</v>
      </c>
      <c r="AO43" s="3" t="str">
        <f t="shared" si="18"/>
        <v> </v>
      </c>
      <c r="AP43" s="2"/>
      <c r="BM43" s="1">
        <f t="shared" si="0"/>
        <v>0</v>
      </c>
      <c r="BN43" s="1">
        <v>5</v>
      </c>
      <c r="BO43" s="1">
        <f t="shared" si="1"/>
        <v>0</v>
      </c>
      <c r="BP43" s="1">
        <f t="shared" si="8"/>
        <v>4</v>
      </c>
      <c r="BQ43" s="1">
        <v>38</v>
      </c>
    </row>
    <row r="44" spans="1:69" ht="12.75">
      <c r="A44" t="str">
        <f>IF(Eingabe!$G$15="spielfrei","Tisch 4 :","Tisch 5 :")</f>
        <v>Tisch 5 :</v>
      </c>
      <c r="C44" s="15" t="str">
        <f>Eingabe!$C$11</f>
        <v>Spieler 6</v>
      </c>
      <c r="D44" s="1" t="s">
        <v>1</v>
      </c>
      <c r="E44" s="15" t="str">
        <f>Eingabe!$G$9</f>
        <v>Spieler 14</v>
      </c>
      <c r="F44" s="15"/>
      <c r="G44" s="1" t="s">
        <v>28</v>
      </c>
      <c r="H44" s="1" t="s">
        <v>1</v>
      </c>
      <c r="I44" s="5" t="str">
        <f t="shared" si="14"/>
        <v> </v>
      </c>
      <c r="J44" s="3"/>
      <c r="K44" s="15" t="str">
        <f>Eingabe!$C$10</f>
        <v>Spieler 5</v>
      </c>
      <c r="L44" s="1" t="s">
        <v>1</v>
      </c>
      <c r="M44" s="15" t="str">
        <f>Eingabe!$G$8</f>
        <v>Spieler 13</v>
      </c>
      <c r="N44" s="15"/>
      <c r="O44" s="1" t="s">
        <v>28</v>
      </c>
      <c r="P44" s="1" t="s">
        <v>1</v>
      </c>
      <c r="Q44" s="5" t="str">
        <f t="shared" si="15"/>
        <v> </v>
      </c>
      <c r="R44" s="3"/>
      <c r="S44" s="15" t="str">
        <f>Eingabe!$C$9</f>
        <v>Spieler 4</v>
      </c>
      <c r="T44" s="1" t="s">
        <v>1</v>
      </c>
      <c r="U44" s="15" t="str">
        <f>Eingabe!$G$7</f>
        <v>Spieler 12</v>
      </c>
      <c r="V44" s="15"/>
      <c r="W44" s="1" t="s">
        <v>28</v>
      </c>
      <c r="X44" s="1" t="s">
        <v>1</v>
      </c>
      <c r="Y44" s="5" t="str">
        <f t="shared" si="16"/>
        <v> </v>
      </c>
      <c r="Z44" s="3"/>
      <c r="AA44" s="15" t="str">
        <f>Eingabe!$C$8</f>
        <v>Spieler 3</v>
      </c>
      <c r="AB44" s="1" t="s">
        <v>1</v>
      </c>
      <c r="AC44" s="15" t="str">
        <f>Eingabe!$G$6</f>
        <v>Spieler 11</v>
      </c>
      <c r="AD44" s="15"/>
      <c r="AE44" s="1" t="s">
        <v>28</v>
      </c>
      <c r="AF44" s="1" t="s">
        <v>1</v>
      </c>
      <c r="AG44" s="5" t="str">
        <f t="shared" si="17"/>
        <v> </v>
      </c>
      <c r="AH44" s="3"/>
      <c r="AI44" s="15" t="str">
        <f>Eingabe!$C$7</f>
        <v>Spieler 2</v>
      </c>
      <c r="AJ44" s="1" t="s">
        <v>1</v>
      </c>
      <c r="AK44" s="15" t="str">
        <f>Eingabe!$C$15</f>
        <v>Spieler 10</v>
      </c>
      <c r="AL44" s="15"/>
      <c r="AM44" s="1" t="s">
        <v>28</v>
      </c>
      <c r="AN44" s="1" t="s">
        <v>1</v>
      </c>
      <c r="AO44" s="3" t="str">
        <f t="shared" si="18"/>
        <v> </v>
      </c>
      <c r="AP44" s="2"/>
      <c r="BM44" s="1">
        <f t="shared" si="0"/>
        <v>0</v>
      </c>
      <c r="BN44" s="1">
        <v>5</v>
      </c>
      <c r="BO44" s="1">
        <f t="shared" si="1"/>
        <v>0</v>
      </c>
      <c r="BP44" s="1">
        <f t="shared" si="8"/>
        <v>4</v>
      </c>
      <c r="BQ44" s="1">
        <v>39</v>
      </c>
    </row>
    <row r="45" spans="1:69" ht="12.75">
      <c r="A45" t="str">
        <f>IF(Eingabe!$G$15="spielfrei","Tisch 5 :","Tisch 6 :")</f>
        <v>Tisch 6 :</v>
      </c>
      <c r="C45" s="15" t="str">
        <f>Eingabe!$C$10</f>
        <v>Spieler 5</v>
      </c>
      <c r="D45" s="1" t="s">
        <v>1</v>
      </c>
      <c r="E45" s="15" t="str">
        <f>Eingabe!$G$10</f>
        <v>Spieler 15</v>
      </c>
      <c r="F45" s="15"/>
      <c r="G45" s="1" t="s">
        <v>28</v>
      </c>
      <c r="H45" s="1" t="s">
        <v>1</v>
      </c>
      <c r="I45" s="5" t="str">
        <f t="shared" si="14"/>
        <v> </v>
      </c>
      <c r="J45" s="3"/>
      <c r="K45" s="15" t="str">
        <f>Eingabe!$C$9</f>
        <v>Spieler 4</v>
      </c>
      <c r="L45" s="1" t="s">
        <v>1</v>
      </c>
      <c r="M45" s="15" t="str">
        <f>Eingabe!$G$9</f>
        <v>Spieler 14</v>
      </c>
      <c r="N45" s="15"/>
      <c r="O45" s="1" t="s">
        <v>28</v>
      </c>
      <c r="P45" s="1" t="s">
        <v>1</v>
      </c>
      <c r="Q45" s="5" t="str">
        <f t="shared" si="15"/>
        <v> </v>
      </c>
      <c r="R45" s="3"/>
      <c r="S45" s="15" t="str">
        <f>Eingabe!$C$8</f>
        <v>Spieler 3</v>
      </c>
      <c r="T45" s="1" t="s">
        <v>1</v>
      </c>
      <c r="U45" s="15" t="str">
        <f>Eingabe!$G$8</f>
        <v>Spieler 13</v>
      </c>
      <c r="V45" s="15"/>
      <c r="W45" s="1" t="s">
        <v>28</v>
      </c>
      <c r="X45" s="1" t="s">
        <v>1</v>
      </c>
      <c r="Y45" s="5" t="str">
        <f t="shared" si="16"/>
        <v> </v>
      </c>
      <c r="Z45" s="3"/>
      <c r="AA45" s="15" t="str">
        <f>Eingabe!$C$7</f>
        <v>Spieler 2</v>
      </c>
      <c r="AB45" s="1" t="s">
        <v>1</v>
      </c>
      <c r="AC45" s="15" t="str">
        <f>Eingabe!$G$7</f>
        <v>Spieler 12</v>
      </c>
      <c r="AD45" s="15"/>
      <c r="AE45" s="1" t="s">
        <v>28</v>
      </c>
      <c r="AF45" s="1" t="s">
        <v>1</v>
      </c>
      <c r="AG45" s="5" t="str">
        <f t="shared" si="17"/>
        <v> </v>
      </c>
      <c r="AH45" s="3"/>
      <c r="AI45" s="15" t="str">
        <f>Eingabe!$C$6</f>
        <v>Spieler 1</v>
      </c>
      <c r="AJ45" s="1" t="s">
        <v>1</v>
      </c>
      <c r="AK45" s="15" t="str">
        <f>Eingabe!$G$6</f>
        <v>Spieler 11</v>
      </c>
      <c r="AL45" s="15"/>
      <c r="AM45" s="1" t="s">
        <v>28</v>
      </c>
      <c r="AN45" s="1" t="s">
        <v>1</v>
      </c>
      <c r="AO45" s="3" t="str">
        <f t="shared" si="18"/>
        <v> </v>
      </c>
      <c r="AP45" s="2"/>
      <c r="BM45" s="1">
        <f t="shared" si="0"/>
        <v>0</v>
      </c>
      <c r="BN45" s="1">
        <v>5</v>
      </c>
      <c r="BO45" s="1">
        <f t="shared" si="1"/>
        <v>0</v>
      </c>
      <c r="BP45" s="1">
        <f t="shared" si="8"/>
        <v>5</v>
      </c>
      <c r="BQ45" s="1">
        <v>40</v>
      </c>
    </row>
    <row r="46" spans="1:69" ht="12.75">
      <c r="A46" t="str">
        <f>IF(Eingabe!$G$15="spielfrei","Tisch 6 :","Tisch 7 :")</f>
        <v>Tisch 7 :</v>
      </c>
      <c r="C46" s="15" t="str">
        <f>Eingabe!$C$9</f>
        <v>Spieler 4</v>
      </c>
      <c r="D46" s="1" t="s">
        <v>1</v>
      </c>
      <c r="E46" s="15" t="str">
        <f>Eingabe!$G$11</f>
        <v>Spieler 16</v>
      </c>
      <c r="F46" s="15"/>
      <c r="G46" s="1" t="s">
        <v>28</v>
      </c>
      <c r="H46" s="1" t="s">
        <v>1</v>
      </c>
      <c r="I46" s="5" t="str">
        <f t="shared" si="14"/>
        <v> </v>
      </c>
      <c r="J46" s="3"/>
      <c r="K46" s="15" t="str">
        <f>Eingabe!$C$8</f>
        <v>Spieler 3</v>
      </c>
      <c r="L46" s="1" t="s">
        <v>1</v>
      </c>
      <c r="M46" s="15" t="str">
        <f>Eingabe!$G$10</f>
        <v>Spieler 15</v>
      </c>
      <c r="N46" s="15"/>
      <c r="O46" s="1" t="s">
        <v>28</v>
      </c>
      <c r="P46" s="1" t="s">
        <v>1</v>
      </c>
      <c r="Q46" s="5" t="str">
        <f t="shared" si="15"/>
        <v> </v>
      </c>
      <c r="R46" s="3"/>
      <c r="S46" s="15" t="str">
        <f>Eingabe!$C$7</f>
        <v>Spieler 2</v>
      </c>
      <c r="T46" s="1" t="s">
        <v>1</v>
      </c>
      <c r="U46" s="15" t="str">
        <f>Eingabe!$G$9</f>
        <v>Spieler 14</v>
      </c>
      <c r="V46" s="15"/>
      <c r="W46" s="1" t="s">
        <v>28</v>
      </c>
      <c r="X46" s="1" t="s">
        <v>1</v>
      </c>
      <c r="Y46" s="5" t="str">
        <f t="shared" si="16"/>
        <v> </v>
      </c>
      <c r="Z46" s="3"/>
      <c r="AA46" s="15" t="str">
        <f>Eingabe!$C$6</f>
        <v>Spieler 1</v>
      </c>
      <c r="AB46" s="1" t="s">
        <v>1</v>
      </c>
      <c r="AC46" s="15" t="str">
        <f>Eingabe!$G$8</f>
        <v>Spieler 13</v>
      </c>
      <c r="AD46" s="15"/>
      <c r="AE46" s="1" t="s">
        <v>28</v>
      </c>
      <c r="AF46" s="1" t="s">
        <v>1</v>
      </c>
      <c r="AG46" s="5" t="str">
        <f t="shared" si="17"/>
        <v> </v>
      </c>
      <c r="AH46" s="3"/>
      <c r="AI46" s="15" t="str">
        <f>Eingabe!$G$14</f>
        <v>Spieler 19</v>
      </c>
      <c r="AJ46" s="1" t="s">
        <v>1</v>
      </c>
      <c r="AK46" s="15" t="str">
        <f>Eingabe!$G$7</f>
        <v>Spieler 12</v>
      </c>
      <c r="AL46" s="15"/>
      <c r="AM46" s="1" t="s">
        <v>28</v>
      </c>
      <c r="AN46" s="1" t="s">
        <v>1</v>
      </c>
      <c r="AO46" s="3" t="str">
        <f t="shared" si="18"/>
        <v> </v>
      </c>
      <c r="AP46" s="2"/>
      <c r="BM46" s="1">
        <f t="shared" si="0"/>
        <v>0</v>
      </c>
      <c r="BN46" s="1">
        <v>5</v>
      </c>
      <c r="BO46" s="1">
        <f t="shared" si="1"/>
        <v>0</v>
      </c>
      <c r="BP46" s="1">
        <f t="shared" si="8"/>
        <v>5</v>
      </c>
      <c r="BQ46" s="1">
        <v>41</v>
      </c>
    </row>
    <row r="47" spans="1:69" ht="12.75">
      <c r="A47" t="str">
        <f>IF(Eingabe!$G$15="spielfrei","Tisch 7 :","Tisch 8 :")</f>
        <v>Tisch 8 :</v>
      </c>
      <c r="C47" s="15" t="str">
        <f>Eingabe!$C$8</f>
        <v>Spieler 3</v>
      </c>
      <c r="D47" s="1" t="s">
        <v>1</v>
      </c>
      <c r="E47" s="15" t="str">
        <f>Eingabe!$G$12</f>
        <v>Spieler 17</v>
      </c>
      <c r="F47" s="15"/>
      <c r="G47" s="1" t="s">
        <v>28</v>
      </c>
      <c r="H47" s="1" t="s">
        <v>1</v>
      </c>
      <c r="I47" s="5" t="str">
        <f t="shared" si="14"/>
        <v> </v>
      </c>
      <c r="J47" s="3"/>
      <c r="K47" s="15" t="str">
        <f>Eingabe!$C$7</f>
        <v>Spieler 2</v>
      </c>
      <c r="L47" s="1" t="s">
        <v>1</v>
      </c>
      <c r="M47" s="15" t="str">
        <f>Eingabe!$G$11</f>
        <v>Spieler 16</v>
      </c>
      <c r="N47" s="15"/>
      <c r="O47" s="1" t="s">
        <v>28</v>
      </c>
      <c r="P47" s="1" t="s">
        <v>1</v>
      </c>
      <c r="Q47" s="5" t="str">
        <f t="shared" si="15"/>
        <v> </v>
      </c>
      <c r="R47" s="3"/>
      <c r="S47" s="15" t="str">
        <f>Eingabe!$C$6</f>
        <v>Spieler 1</v>
      </c>
      <c r="T47" s="1" t="s">
        <v>1</v>
      </c>
      <c r="U47" s="15" t="str">
        <f>Eingabe!$G$10</f>
        <v>Spieler 15</v>
      </c>
      <c r="V47" s="15"/>
      <c r="W47" s="1" t="s">
        <v>28</v>
      </c>
      <c r="X47" s="1" t="s">
        <v>1</v>
      </c>
      <c r="Y47" s="5" t="str">
        <f t="shared" si="16"/>
        <v> </v>
      </c>
      <c r="Z47" s="3"/>
      <c r="AA47" s="15" t="str">
        <f>Eingabe!$G$14</f>
        <v>Spieler 19</v>
      </c>
      <c r="AB47" s="1" t="s">
        <v>1</v>
      </c>
      <c r="AC47" s="15" t="str">
        <f>Eingabe!$G$9</f>
        <v>Spieler 14</v>
      </c>
      <c r="AD47" s="15"/>
      <c r="AE47" s="1" t="s">
        <v>28</v>
      </c>
      <c r="AF47" s="1" t="s">
        <v>1</v>
      </c>
      <c r="AG47" s="5" t="str">
        <f t="shared" si="17"/>
        <v> </v>
      </c>
      <c r="AH47" s="3"/>
      <c r="AI47" s="15" t="str">
        <f>Eingabe!$G$13</f>
        <v>Spieler 18</v>
      </c>
      <c r="AJ47" s="1" t="s">
        <v>1</v>
      </c>
      <c r="AK47" s="15" t="str">
        <f>Eingabe!$G$8</f>
        <v>Spieler 13</v>
      </c>
      <c r="AL47" s="15"/>
      <c r="AM47" s="1" t="s">
        <v>28</v>
      </c>
      <c r="AN47" s="1" t="s">
        <v>1</v>
      </c>
      <c r="AO47" s="3" t="str">
        <f t="shared" si="18"/>
        <v> </v>
      </c>
      <c r="AP47" s="2"/>
      <c r="BM47" s="1">
        <f t="shared" si="0"/>
        <v>0</v>
      </c>
      <c r="BN47" s="1">
        <v>5</v>
      </c>
      <c r="BO47" s="1">
        <f t="shared" si="1"/>
        <v>0</v>
      </c>
      <c r="BP47" s="1">
        <f t="shared" si="8"/>
        <v>5</v>
      </c>
      <c r="BQ47" s="1">
        <v>42</v>
      </c>
    </row>
    <row r="48" spans="1:69" ht="12.75">
      <c r="A48" t="str">
        <f>IF(Eingabe!$G$15="spielfrei","Tisch 8 :","Tisch 9 :")</f>
        <v>Tisch 9 :</v>
      </c>
      <c r="C48" s="15" t="str">
        <f>Eingabe!$C$7</f>
        <v>Spieler 2</v>
      </c>
      <c r="D48" s="1" t="s">
        <v>1</v>
      </c>
      <c r="E48" s="15" t="str">
        <f>Eingabe!$G$13</f>
        <v>Spieler 18</v>
      </c>
      <c r="F48" s="15"/>
      <c r="G48" s="1" t="s">
        <v>28</v>
      </c>
      <c r="H48" s="1" t="s">
        <v>1</v>
      </c>
      <c r="I48" s="5" t="str">
        <f t="shared" si="14"/>
        <v> </v>
      </c>
      <c r="J48" s="3"/>
      <c r="K48" s="15" t="str">
        <f>Eingabe!$C$6</f>
        <v>Spieler 1</v>
      </c>
      <c r="L48" s="1" t="s">
        <v>1</v>
      </c>
      <c r="M48" s="15" t="str">
        <f>Eingabe!$G$12</f>
        <v>Spieler 17</v>
      </c>
      <c r="N48" s="15"/>
      <c r="O48" s="1" t="s">
        <v>28</v>
      </c>
      <c r="P48" s="1" t="s">
        <v>1</v>
      </c>
      <c r="Q48" s="5" t="str">
        <f t="shared" si="15"/>
        <v> </v>
      </c>
      <c r="R48" s="3"/>
      <c r="S48" s="15" t="str">
        <f>Eingabe!$G$14</f>
        <v>Spieler 19</v>
      </c>
      <c r="T48" s="1" t="s">
        <v>1</v>
      </c>
      <c r="U48" s="15" t="str">
        <f>Eingabe!$G$11</f>
        <v>Spieler 16</v>
      </c>
      <c r="V48" s="15"/>
      <c r="W48" s="1" t="s">
        <v>28</v>
      </c>
      <c r="X48" s="1" t="s">
        <v>1</v>
      </c>
      <c r="Y48" s="5" t="str">
        <f t="shared" si="16"/>
        <v> </v>
      </c>
      <c r="Z48" s="3"/>
      <c r="AA48" s="15" t="str">
        <f>Eingabe!$G$13</f>
        <v>Spieler 18</v>
      </c>
      <c r="AB48" s="1" t="s">
        <v>1</v>
      </c>
      <c r="AC48" s="15" t="str">
        <f>Eingabe!$G$10</f>
        <v>Spieler 15</v>
      </c>
      <c r="AD48" s="15"/>
      <c r="AE48" s="1" t="s">
        <v>28</v>
      </c>
      <c r="AF48" s="1" t="s">
        <v>1</v>
      </c>
      <c r="AG48" s="5" t="str">
        <f t="shared" si="17"/>
        <v> </v>
      </c>
      <c r="AH48" s="3"/>
      <c r="AI48" s="15" t="str">
        <f>Eingabe!$G$12</f>
        <v>Spieler 17</v>
      </c>
      <c r="AJ48" s="1" t="s">
        <v>1</v>
      </c>
      <c r="AK48" s="15" t="str">
        <f>Eingabe!$G$9</f>
        <v>Spieler 14</v>
      </c>
      <c r="AL48" s="15"/>
      <c r="AM48" s="1" t="s">
        <v>28</v>
      </c>
      <c r="AN48" s="1" t="s">
        <v>1</v>
      </c>
      <c r="AO48" s="3" t="str">
        <f t="shared" si="18"/>
        <v> </v>
      </c>
      <c r="AP48" s="2"/>
      <c r="BM48" s="1">
        <f t="shared" si="0"/>
        <v>0</v>
      </c>
      <c r="BN48" s="1">
        <v>5</v>
      </c>
      <c r="BO48" s="1">
        <f t="shared" si="1"/>
        <v>0</v>
      </c>
      <c r="BP48" s="1">
        <f t="shared" si="8"/>
        <v>5</v>
      </c>
      <c r="BQ48" s="1">
        <v>43</v>
      </c>
    </row>
    <row r="49" spans="1:69" ht="12.75">
      <c r="A49" t="str">
        <f>IF(Eingabe!$G$15="spielfrei","Tisch 9 :","Tisch 10 :")</f>
        <v>Tisch 10 :</v>
      </c>
      <c r="C49" s="15" t="str">
        <f>Eingabe!$C$6</f>
        <v>Spieler 1</v>
      </c>
      <c r="D49" s="1" t="s">
        <v>1</v>
      </c>
      <c r="E49" s="15" t="str">
        <f>Eingabe!$G$14</f>
        <v>Spieler 19</v>
      </c>
      <c r="F49" s="15"/>
      <c r="G49" s="1" t="s">
        <v>28</v>
      </c>
      <c r="H49" s="1" t="s">
        <v>1</v>
      </c>
      <c r="I49" s="5" t="str">
        <f t="shared" si="14"/>
        <v> </v>
      </c>
      <c r="J49" s="3"/>
      <c r="K49" s="15" t="str">
        <f>Eingabe!$G$14</f>
        <v>Spieler 19</v>
      </c>
      <c r="L49" s="1" t="s">
        <v>1</v>
      </c>
      <c r="M49" s="15" t="str">
        <f>Eingabe!$G$13</f>
        <v>Spieler 18</v>
      </c>
      <c r="N49" s="15"/>
      <c r="O49" s="1" t="s">
        <v>28</v>
      </c>
      <c r="P49" s="1" t="s">
        <v>1</v>
      </c>
      <c r="Q49" s="5" t="str">
        <f t="shared" si="15"/>
        <v> </v>
      </c>
      <c r="R49" s="3"/>
      <c r="S49" s="15" t="str">
        <f>Eingabe!$G$13</f>
        <v>Spieler 18</v>
      </c>
      <c r="T49" s="1" t="s">
        <v>1</v>
      </c>
      <c r="U49" s="15" t="str">
        <f>Eingabe!$G$12</f>
        <v>Spieler 17</v>
      </c>
      <c r="V49" s="15"/>
      <c r="W49" s="1" t="s">
        <v>28</v>
      </c>
      <c r="X49" s="1" t="s">
        <v>1</v>
      </c>
      <c r="Y49" s="5" t="str">
        <f t="shared" si="16"/>
        <v> </v>
      </c>
      <c r="Z49" s="3"/>
      <c r="AA49" s="15" t="str">
        <f>Eingabe!$G$12</f>
        <v>Spieler 17</v>
      </c>
      <c r="AB49" s="1" t="s">
        <v>1</v>
      </c>
      <c r="AC49" s="15" t="str">
        <f>Eingabe!$G$11</f>
        <v>Spieler 16</v>
      </c>
      <c r="AD49" s="15"/>
      <c r="AE49" s="1" t="s">
        <v>28</v>
      </c>
      <c r="AF49" s="1" t="s">
        <v>1</v>
      </c>
      <c r="AG49" s="5" t="str">
        <f t="shared" si="17"/>
        <v> </v>
      </c>
      <c r="AH49" s="3"/>
      <c r="AI49" s="15" t="str">
        <f>Eingabe!$G$11</f>
        <v>Spieler 16</v>
      </c>
      <c r="AJ49" s="1" t="s">
        <v>1</v>
      </c>
      <c r="AK49" s="15" t="str">
        <f>Eingabe!$G$10</f>
        <v>Spieler 15</v>
      </c>
      <c r="AL49" s="15"/>
      <c r="AM49" s="1" t="s">
        <v>28</v>
      </c>
      <c r="AN49" s="1" t="s">
        <v>1</v>
      </c>
      <c r="AO49" s="3" t="str">
        <f t="shared" si="18"/>
        <v> </v>
      </c>
      <c r="AP49" s="2"/>
      <c r="BM49" s="1">
        <f t="shared" si="0"/>
        <v>0</v>
      </c>
      <c r="BN49" s="1">
        <v>5</v>
      </c>
      <c r="BO49" s="1">
        <f t="shared" si="1"/>
        <v>0</v>
      </c>
      <c r="BP49" s="1">
        <f t="shared" si="8"/>
        <v>5</v>
      </c>
      <c r="BQ49" s="1">
        <v>44</v>
      </c>
    </row>
    <row r="50" spans="5:69" ht="12.75">
      <c r="E50" s="15"/>
      <c r="F50" s="15"/>
      <c r="G50" t="s">
        <v>28</v>
      </c>
      <c r="M50" s="15"/>
      <c r="N50" s="15"/>
      <c r="O50" t="s">
        <v>28</v>
      </c>
      <c r="U50" s="15"/>
      <c r="V50" s="15"/>
      <c r="W50" t="s">
        <v>28</v>
      </c>
      <c r="AC50" s="15"/>
      <c r="AD50" s="15"/>
      <c r="AE50" t="s">
        <v>28</v>
      </c>
      <c r="AK50" s="15"/>
      <c r="AL50" s="15"/>
      <c r="AM50" t="s">
        <v>28</v>
      </c>
      <c r="AO50" s="2"/>
      <c r="AP50" s="2"/>
      <c r="BM50" s="1">
        <f t="shared" si="0"/>
        <v>0</v>
      </c>
      <c r="BN50" s="1">
        <v>6</v>
      </c>
      <c r="BO50" s="1">
        <f t="shared" si="1"/>
        <v>0</v>
      </c>
      <c r="BP50" s="1">
        <f t="shared" si="8"/>
        <v>5</v>
      </c>
      <c r="BQ50" s="1">
        <v>45</v>
      </c>
    </row>
    <row r="51" spans="5:69" ht="12.75">
      <c r="E51" s="15"/>
      <c r="F51" s="15"/>
      <c r="M51" s="15"/>
      <c r="N51" s="15"/>
      <c r="U51" s="15"/>
      <c r="V51" s="15"/>
      <c r="AC51" s="15"/>
      <c r="AD51" s="15"/>
      <c r="AK51" s="15"/>
      <c r="AL51" s="15"/>
      <c r="AO51" s="2"/>
      <c r="AP51" s="2"/>
      <c r="BM51" s="1">
        <f t="shared" si="0"/>
        <v>0</v>
      </c>
      <c r="BN51" s="1">
        <v>6</v>
      </c>
      <c r="BO51" s="1">
        <f t="shared" si="1"/>
        <v>0</v>
      </c>
      <c r="BP51" s="1">
        <f t="shared" si="8"/>
        <v>5</v>
      </c>
      <c r="BQ51" s="1">
        <v>46</v>
      </c>
    </row>
    <row r="52" spans="4:69" ht="12.75">
      <c r="D52" s="11" t="s">
        <v>40</v>
      </c>
      <c r="E52" s="15"/>
      <c r="F52" s="15"/>
      <c r="L52" s="11" t="s">
        <v>41</v>
      </c>
      <c r="M52" s="15"/>
      <c r="N52" s="15"/>
      <c r="T52" s="11" t="s">
        <v>42</v>
      </c>
      <c r="U52" s="15"/>
      <c r="V52" s="15"/>
      <c r="AB52" s="11" t="s">
        <v>43</v>
      </c>
      <c r="AC52" s="15"/>
      <c r="AD52" s="15"/>
      <c r="AK52" s="15"/>
      <c r="AL52" s="15"/>
      <c r="AO52" s="2"/>
      <c r="AP52" s="2"/>
      <c r="BM52" s="1">
        <f t="shared" si="0"/>
        <v>0</v>
      </c>
      <c r="BN52" s="1">
        <v>6</v>
      </c>
      <c r="BO52" s="1">
        <f t="shared" si="1"/>
        <v>0</v>
      </c>
      <c r="BP52" s="1">
        <f t="shared" si="8"/>
        <v>5</v>
      </c>
      <c r="BQ52" s="1">
        <v>47</v>
      </c>
    </row>
    <row r="53" spans="3:69" ht="6" customHeight="1">
      <c r="C53" s="11"/>
      <c r="E53" s="15"/>
      <c r="F53" s="15"/>
      <c r="M53" s="15"/>
      <c r="N53" s="15"/>
      <c r="U53" s="15"/>
      <c r="V53" s="15"/>
      <c r="AC53" s="15"/>
      <c r="AD53" s="15"/>
      <c r="AK53" s="15"/>
      <c r="AL53" s="15"/>
      <c r="AO53" s="2"/>
      <c r="AP53" s="2"/>
      <c r="BM53" s="1">
        <f t="shared" si="0"/>
        <v>0</v>
      </c>
      <c r="BN53" s="1">
        <v>6</v>
      </c>
      <c r="BO53" s="1">
        <f t="shared" si="1"/>
        <v>0</v>
      </c>
      <c r="BP53" s="1">
        <f t="shared" si="8"/>
        <v>5</v>
      </c>
      <c r="BQ53" s="1">
        <v>48</v>
      </c>
    </row>
    <row r="54" spans="1:69" ht="12.75">
      <c r="A54" t="str">
        <f>IF(Eingabe!$G$15="spielfrei","","Tisch 1 :")</f>
        <v>Tisch 1 :</v>
      </c>
      <c r="C54" s="15" t="str">
        <f>Eingabe!$C$10</f>
        <v>Spieler 5</v>
      </c>
      <c r="D54" s="1" t="s">
        <v>1</v>
      </c>
      <c r="E54" s="15" t="str">
        <f>Eingabe!$G$15</f>
        <v>Spieler 20 / spielfrei</v>
      </c>
      <c r="F54" s="15"/>
      <c r="G54" s="1" t="s">
        <v>28</v>
      </c>
      <c r="H54" s="1" t="str">
        <f>IF($B$7="spielfrei"," ",":")</f>
        <v>:</v>
      </c>
      <c r="I54" s="5" t="str">
        <f aca="true" t="shared" si="19" ref="I54:I63">IF(G54&lt;=1,1-G54," ")</f>
        <v> </v>
      </c>
      <c r="J54" s="3"/>
      <c r="K54" s="15" t="str">
        <f>Eingabe!$C$9</f>
        <v>Spieler 4</v>
      </c>
      <c r="L54" s="1" t="s">
        <v>1</v>
      </c>
      <c r="M54" s="15" t="str">
        <f>Eingabe!$G$15</f>
        <v>Spieler 20 / spielfrei</v>
      </c>
      <c r="N54" s="15"/>
      <c r="O54" s="1" t="s">
        <v>28</v>
      </c>
      <c r="P54" s="1" t="str">
        <f>IF($B$7="spielfrei"," ",":")</f>
        <v>:</v>
      </c>
      <c r="Q54" s="5" t="str">
        <f aca="true" t="shared" si="20" ref="Q54:Q63">IF(O54&lt;=1,1-O54," ")</f>
        <v> </v>
      </c>
      <c r="R54" s="3"/>
      <c r="S54" s="15" t="str">
        <f>Eingabe!$C$8</f>
        <v>Spieler 3</v>
      </c>
      <c r="T54" s="1" t="s">
        <v>1</v>
      </c>
      <c r="U54" s="15" t="str">
        <f>Eingabe!$G$15</f>
        <v>Spieler 20 / spielfrei</v>
      </c>
      <c r="V54" s="15"/>
      <c r="W54" s="1" t="s">
        <v>28</v>
      </c>
      <c r="X54" s="1" t="str">
        <f>IF($B$7="spielfrei"," ",":")</f>
        <v>:</v>
      </c>
      <c r="Y54" s="5" t="str">
        <f aca="true" t="shared" si="21" ref="Y54:Y63">IF(W54&lt;=1,1-W54," ")</f>
        <v> </v>
      </c>
      <c r="Z54" s="3"/>
      <c r="AA54" s="15" t="str">
        <f>Eingabe!$C$7</f>
        <v>Spieler 2</v>
      </c>
      <c r="AB54" s="1" t="s">
        <v>1</v>
      </c>
      <c r="AC54" s="15" t="str">
        <f>Eingabe!$G$15</f>
        <v>Spieler 20 / spielfrei</v>
      </c>
      <c r="AD54" s="15"/>
      <c r="AE54" s="1" t="s">
        <v>28</v>
      </c>
      <c r="AF54" s="1" t="str">
        <f>IF($B$7="spielfrei"," ",":")</f>
        <v>:</v>
      </c>
      <c r="AG54" s="5" t="str">
        <f aca="true" t="shared" si="22" ref="AG54:AG63">IF(AE54&lt;=1,1-AE54," ")</f>
        <v> </v>
      </c>
      <c r="AH54" s="3"/>
      <c r="AK54" s="15"/>
      <c r="AL54" s="15"/>
      <c r="AM54" s="1" t="s">
        <v>28</v>
      </c>
      <c r="AN54" s="1"/>
      <c r="AO54" s="2"/>
      <c r="AP54" s="2"/>
      <c r="BM54" s="1">
        <f t="shared" si="0"/>
        <v>0</v>
      </c>
      <c r="BN54" s="1">
        <v>6</v>
      </c>
      <c r="BO54" s="1">
        <f t="shared" si="1"/>
        <v>0</v>
      </c>
      <c r="BP54" s="1">
        <f t="shared" si="8"/>
        <v>5</v>
      </c>
      <c r="BQ54" s="1">
        <v>49</v>
      </c>
    </row>
    <row r="55" spans="1:69" ht="12.75">
      <c r="A55" t="str">
        <f>IF(Eingabe!$G$15="spielfrei","Tisch 1 :","Tisch 2 :")</f>
        <v>Tisch 2 :</v>
      </c>
      <c r="C55" s="15" t="str">
        <f>Eingabe!$C$9</f>
        <v>Spieler 4</v>
      </c>
      <c r="D55" s="1" t="s">
        <v>1</v>
      </c>
      <c r="E55" s="15" t="str">
        <f>Eingabe!$C$11</f>
        <v>Spieler 6</v>
      </c>
      <c r="F55" s="15"/>
      <c r="G55" s="1" t="s">
        <v>28</v>
      </c>
      <c r="H55" s="1" t="s">
        <v>1</v>
      </c>
      <c r="I55" s="5" t="str">
        <f t="shared" si="19"/>
        <v> </v>
      </c>
      <c r="J55" s="3"/>
      <c r="K55" s="15" t="str">
        <f>Eingabe!$C$8</f>
        <v>Spieler 3</v>
      </c>
      <c r="L55" s="1" t="s">
        <v>1</v>
      </c>
      <c r="M55" s="15" t="str">
        <f>Eingabe!$C$10</f>
        <v>Spieler 5</v>
      </c>
      <c r="N55" s="15"/>
      <c r="O55" s="1" t="s">
        <v>28</v>
      </c>
      <c r="P55" s="1" t="s">
        <v>1</v>
      </c>
      <c r="Q55" s="5" t="str">
        <f t="shared" si="20"/>
        <v> </v>
      </c>
      <c r="R55" s="3"/>
      <c r="S55" s="15" t="str">
        <f>Eingabe!$C$7</f>
        <v>Spieler 2</v>
      </c>
      <c r="T55" s="1" t="s">
        <v>1</v>
      </c>
      <c r="U55" s="15" t="str">
        <f>Eingabe!$C$9</f>
        <v>Spieler 4</v>
      </c>
      <c r="V55" s="15"/>
      <c r="W55" s="1" t="s">
        <v>28</v>
      </c>
      <c r="X55" s="1" t="s">
        <v>1</v>
      </c>
      <c r="Y55" s="5" t="str">
        <f t="shared" si="21"/>
        <v> </v>
      </c>
      <c r="Z55" s="3"/>
      <c r="AA55" s="15" t="str">
        <f>Eingabe!$C$6</f>
        <v>Spieler 1</v>
      </c>
      <c r="AB55" s="1" t="s">
        <v>1</v>
      </c>
      <c r="AC55" s="15" t="str">
        <f>Eingabe!$C$8</f>
        <v>Spieler 3</v>
      </c>
      <c r="AD55" s="15"/>
      <c r="AE55" s="1" t="s">
        <v>28</v>
      </c>
      <c r="AF55" s="1" t="s">
        <v>1</v>
      </c>
      <c r="AG55" s="5" t="str">
        <f t="shared" si="22"/>
        <v> </v>
      </c>
      <c r="AH55" s="3"/>
      <c r="AK55" s="15"/>
      <c r="AL55" s="15"/>
      <c r="AM55" s="1" t="s">
        <v>28</v>
      </c>
      <c r="AN55" s="1"/>
      <c r="AO55" s="2"/>
      <c r="AP55" s="2"/>
      <c r="BM55" s="1">
        <f t="shared" si="0"/>
        <v>0</v>
      </c>
      <c r="BN55" s="1">
        <v>6</v>
      </c>
      <c r="BO55" s="1">
        <f t="shared" si="1"/>
        <v>0</v>
      </c>
      <c r="BP55" s="1">
        <f t="shared" si="8"/>
        <v>6</v>
      </c>
      <c r="BQ55" s="1">
        <v>50</v>
      </c>
    </row>
    <row r="56" spans="1:69" ht="12.75">
      <c r="A56" t="str">
        <f>IF(Eingabe!$G$15="spielfrei","Tisch 2 :","Tisch 3 :")</f>
        <v>Tisch 3 :</v>
      </c>
      <c r="C56" s="15" t="str">
        <f>Eingabe!$C$8</f>
        <v>Spieler 3</v>
      </c>
      <c r="D56" s="1" t="s">
        <v>1</v>
      </c>
      <c r="E56" s="15" t="str">
        <f>Eingabe!$C$12</f>
        <v>Spieler 7</v>
      </c>
      <c r="F56" s="15"/>
      <c r="G56" s="1" t="s">
        <v>28</v>
      </c>
      <c r="H56" s="1" t="s">
        <v>1</v>
      </c>
      <c r="I56" s="5" t="str">
        <f t="shared" si="19"/>
        <v> </v>
      </c>
      <c r="J56" s="3"/>
      <c r="K56" s="15" t="str">
        <f>Eingabe!$C$7</f>
        <v>Spieler 2</v>
      </c>
      <c r="L56" s="1" t="s">
        <v>1</v>
      </c>
      <c r="M56" s="15" t="str">
        <f>Eingabe!$C$11</f>
        <v>Spieler 6</v>
      </c>
      <c r="N56" s="15"/>
      <c r="O56" s="1" t="s">
        <v>28</v>
      </c>
      <c r="P56" s="1" t="s">
        <v>1</v>
      </c>
      <c r="Q56" s="5" t="str">
        <f t="shared" si="20"/>
        <v> </v>
      </c>
      <c r="R56" s="3"/>
      <c r="S56" s="15" t="str">
        <f>Eingabe!$C$6</f>
        <v>Spieler 1</v>
      </c>
      <c r="T56" s="1" t="s">
        <v>1</v>
      </c>
      <c r="U56" s="15" t="str">
        <f>Eingabe!$C$10</f>
        <v>Spieler 5</v>
      </c>
      <c r="V56" s="15"/>
      <c r="W56" s="1" t="s">
        <v>28</v>
      </c>
      <c r="X56" s="1" t="s">
        <v>1</v>
      </c>
      <c r="Y56" s="5" t="str">
        <f t="shared" si="21"/>
        <v> </v>
      </c>
      <c r="Z56" s="3"/>
      <c r="AA56" s="15" t="str">
        <f>Eingabe!$G$14</f>
        <v>Spieler 19</v>
      </c>
      <c r="AB56" s="1" t="s">
        <v>1</v>
      </c>
      <c r="AC56" s="15" t="str">
        <f>Eingabe!$C$9</f>
        <v>Spieler 4</v>
      </c>
      <c r="AD56" s="15"/>
      <c r="AE56" s="1" t="s">
        <v>28</v>
      </c>
      <c r="AF56" s="1" t="s">
        <v>1</v>
      </c>
      <c r="AG56" s="5" t="str">
        <f t="shared" si="22"/>
        <v> </v>
      </c>
      <c r="AH56" s="3"/>
      <c r="AK56" s="15"/>
      <c r="AL56" s="15"/>
      <c r="AM56" s="1" t="s">
        <v>28</v>
      </c>
      <c r="AN56" s="1"/>
      <c r="AO56" s="2"/>
      <c r="AP56" s="2"/>
      <c r="BM56" s="1">
        <f t="shared" si="0"/>
        <v>0</v>
      </c>
      <c r="BN56" s="1">
        <v>6</v>
      </c>
      <c r="BO56" s="1">
        <f t="shared" si="1"/>
        <v>0</v>
      </c>
      <c r="BP56" s="1">
        <f t="shared" si="8"/>
        <v>6</v>
      </c>
      <c r="BQ56" s="1">
        <v>51</v>
      </c>
    </row>
    <row r="57" spans="1:69" ht="12.75">
      <c r="A57" t="str">
        <f>IF(Eingabe!$G$15="spielfrei","Tisch 3 :","Tisch 4 :")</f>
        <v>Tisch 4 :</v>
      </c>
      <c r="C57" s="15" t="str">
        <f>Eingabe!$C$7</f>
        <v>Spieler 2</v>
      </c>
      <c r="D57" s="1" t="s">
        <v>1</v>
      </c>
      <c r="E57" s="15" t="str">
        <f>Eingabe!$C$13</f>
        <v>Spieler 8</v>
      </c>
      <c r="F57" s="15"/>
      <c r="G57" s="1" t="s">
        <v>28</v>
      </c>
      <c r="H57" s="1" t="s">
        <v>1</v>
      </c>
      <c r="I57" s="5" t="str">
        <f t="shared" si="19"/>
        <v> </v>
      </c>
      <c r="J57" s="3"/>
      <c r="K57" s="15" t="str">
        <f>Eingabe!$C$6</f>
        <v>Spieler 1</v>
      </c>
      <c r="L57" s="1" t="s">
        <v>1</v>
      </c>
      <c r="M57" s="15" t="str">
        <f>Eingabe!$C$12</f>
        <v>Spieler 7</v>
      </c>
      <c r="N57" s="15"/>
      <c r="O57" s="1" t="s">
        <v>28</v>
      </c>
      <c r="P57" s="1" t="s">
        <v>1</v>
      </c>
      <c r="Q57" s="5" t="str">
        <f t="shared" si="20"/>
        <v> </v>
      </c>
      <c r="R57" s="3"/>
      <c r="S57" s="15" t="str">
        <f>Eingabe!$G$14</f>
        <v>Spieler 19</v>
      </c>
      <c r="T57" s="1" t="s">
        <v>1</v>
      </c>
      <c r="U57" s="15" t="str">
        <f>Eingabe!$C$11</f>
        <v>Spieler 6</v>
      </c>
      <c r="V57" s="15"/>
      <c r="W57" s="1" t="s">
        <v>28</v>
      </c>
      <c r="X57" s="1" t="s">
        <v>1</v>
      </c>
      <c r="Y57" s="5" t="str">
        <f t="shared" si="21"/>
        <v> </v>
      </c>
      <c r="Z57" s="3"/>
      <c r="AA57" s="15" t="str">
        <f>Eingabe!$G$13</f>
        <v>Spieler 18</v>
      </c>
      <c r="AB57" s="1" t="s">
        <v>1</v>
      </c>
      <c r="AC57" s="15" t="str">
        <f>Eingabe!$C$10</f>
        <v>Spieler 5</v>
      </c>
      <c r="AD57" s="15"/>
      <c r="AE57" s="1" t="s">
        <v>28</v>
      </c>
      <c r="AF57" s="1" t="s">
        <v>1</v>
      </c>
      <c r="AG57" s="5" t="str">
        <f t="shared" si="22"/>
        <v> </v>
      </c>
      <c r="AH57" s="3"/>
      <c r="AK57" s="15"/>
      <c r="AL57" s="15"/>
      <c r="AM57" s="1" t="s">
        <v>28</v>
      </c>
      <c r="AN57" s="1"/>
      <c r="AO57" s="2"/>
      <c r="AP57" s="2"/>
      <c r="BM57" s="1">
        <f t="shared" si="0"/>
        <v>0</v>
      </c>
      <c r="BN57" s="1">
        <v>6</v>
      </c>
      <c r="BO57" s="1">
        <f t="shared" si="1"/>
        <v>0</v>
      </c>
      <c r="BP57" s="1">
        <f t="shared" si="8"/>
        <v>6</v>
      </c>
      <c r="BQ57" s="1">
        <v>52</v>
      </c>
    </row>
    <row r="58" spans="1:69" ht="12.75">
      <c r="A58" t="str">
        <f>IF(Eingabe!$G$15="spielfrei","Tisch 4 :","Tisch 5 :")</f>
        <v>Tisch 5 :</v>
      </c>
      <c r="C58" s="15" t="str">
        <f>Eingabe!$C$6</f>
        <v>Spieler 1</v>
      </c>
      <c r="D58" s="1" t="s">
        <v>1</v>
      </c>
      <c r="E58" s="15" t="str">
        <f>Eingabe!$C$14</f>
        <v>Spieler 9</v>
      </c>
      <c r="F58" s="15"/>
      <c r="G58" s="1" t="s">
        <v>28</v>
      </c>
      <c r="H58" s="1" t="s">
        <v>1</v>
      </c>
      <c r="I58" s="5" t="str">
        <f t="shared" si="19"/>
        <v> </v>
      </c>
      <c r="J58" s="3"/>
      <c r="K58" s="15" t="str">
        <f>Eingabe!$G$14</f>
        <v>Spieler 19</v>
      </c>
      <c r="L58" s="1" t="s">
        <v>1</v>
      </c>
      <c r="M58" s="15" t="str">
        <f>Eingabe!$C$13</f>
        <v>Spieler 8</v>
      </c>
      <c r="N58" s="15"/>
      <c r="O58" s="1" t="s">
        <v>28</v>
      </c>
      <c r="P58" s="1" t="s">
        <v>1</v>
      </c>
      <c r="Q58" s="5" t="str">
        <f t="shared" si="20"/>
        <v> </v>
      </c>
      <c r="R58" s="3"/>
      <c r="S58" s="15" t="str">
        <f>Eingabe!$G$13</f>
        <v>Spieler 18</v>
      </c>
      <c r="T58" s="1" t="s">
        <v>1</v>
      </c>
      <c r="U58" s="15" t="str">
        <f>Eingabe!$C$12</f>
        <v>Spieler 7</v>
      </c>
      <c r="V58" s="15"/>
      <c r="W58" s="1" t="s">
        <v>28</v>
      </c>
      <c r="X58" s="1" t="s">
        <v>1</v>
      </c>
      <c r="Y58" s="5" t="str">
        <f t="shared" si="21"/>
        <v> </v>
      </c>
      <c r="Z58" s="3"/>
      <c r="AA58" s="15" t="str">
        <f>Eingabe!$G$12</f>
        <v>Spieler 17</v>
      </c>
      <c r="AB58" s="1" t="s">
        <v>1</v>
      </c>
      <c r="AC58" s="15" t="str">
        <f>Eingabe!$C$11</f>
        <v>Spieler 6</v>
      </c>
      <c r="AD58" s="15"/>
      <c r="AE58" s="1" t="s">
        <v>28</v>
      </c>
      <c r="AF58" s="1" t="s">
        <v>1</v>
      </c>
      <c r="AG58" s="5" t="str">
        <f t="shared" si="22"/>
        <v> </v>
      </c>
      <c r="AH58" s="3"/>
      <c r="AK58" s="15"/>
      <c r="AL58" s="15"/>
      <c r="AM58" s="1" t="s">
        <v>28</v>
      </c>
      <c r="AN58" s="1"/>
      <c r="AO58" s="2"/>
      <c r="AP58" s="2"/>
      <c r="BM58" s="1">
        <f t="shared" si="0"/>
        <v>0</v>
      </c>
      <c r="BN58" s="1">
        <v>6</v>
      </c>
      <c r="BO58" s="1">
        <f t="shared" si="1"/>
        <v>0</v>
      </c>
      <c r="BP58" s="1">
        <f t="shared" si="8"/>
        <v>6</v>
      </c>
      <c r="BQ58" s="1">
        <v>53</v>
      </c>
    </row>
    <row r="59" spans="1:69" ht="12.75">
      <c r="A59" t="str">
        <f>IF(Eingabe!$G$15="spielfrei","Tisch 5 :","Tisch 6 :")</f>
        <v>Tisch 6 :</v>
      </c>
      <c r="C59" s="15" t="str">
        <f>Eingabe!$G$14</f>
        <v>Spieler 19</v>
      </c>
      <c r="D59" s="1" t="s">
        <v>1</v>
      </c>
      <c r="E59" s="15" t="str">
        <f>Eingabe!$C$15</f>
        <v>Spieler 10</v>
      </c>
      <c r="F59" s="15"/>
      <c r="G59" s="1" t="s">
        <v>28</v>
      </c>
      <c r="H59" s="1" t="s">
        <v>1</v>
      </c>
      <c r="I59" s="5" t="str">
        <f t="shared" si="19"/>
        <v> </v>
      </c>
      <c r="J59" s="3"/>
      <c r="K59" s="15" t="str">
        <f>Eingabe!$G$13</f>
        <v>Spieler 18</v>
      </c>
      <c r="L59" s="1" t="s">
        <v>1</v>
      </c>
      <c r="M59" s="15" t="str">
        <f>Eingabe!$C$14</f>
        <v>Spieler 9</v>
      </c>
      <c r="N59" s="15"/>
      <c r="O59" s="1" t="s">
        <v>28</v>
      </c>
      <c r="P59" s="1" t="s">
        <v>1</v>
      </c>
      <c r="Q59" s="5" t="str">
        <f t="shared" si="20"/>
        <v> </v>
      </c>
      <c r="R59" s="3"/>
      <c r="S59" s="15" t="str">
        <f>Eingabe!$G$12</f>
        <v>Spieler 17</v>
      </c>
      <c r="T59" s="1" t="s">
        <v>1</v>
      </c>
      <c r="U59" s="15" t="str">
        <f>Eingabe!$C$13</f>
        <v>Spieler 8</v>
      </c>
      <c r="V59" s="15"/>
      <c r="W59" s="1" t="s">
        <v>28</v>
      </c>
      <c r="X59" s="1" t="s">
        <v>1</v>
      </c>
      <c r="Y59" s="5" t="str">
        <f t="shared" si="21"/>
        <v> </v>
      </c>
      <c r="Z59" s="3"/>
      <c r="AA59" s="15" t="str">
        <f>Eingabe!$G$11</f>
        <v>Spieler 16</v>
      </c>
      <c r="AB59" s="1" t="s">
        <v>1</v>
      </c>
      <c r="AC59" s="15" t="str">
        <f>Eingabe!$C$12</f>
        <v>Spieler 7</v>
      </c>
      <c r="AD59" s="15"/>
      <c r="AE59" s="1" t="s">
        <v>28</v>
      </c>
      <c r="AF59" s="1" t="s">
        <v>1</v>
      </c>
      <c r="AG59" s="5" t="str">
        <f t="shared" si="22"/>
        <v> </v>
      </c>
      <c r="AH59" s="3"/>
      <c r="AK59" s="15"/>
      <c r="AL59" s="15"/>
      <c r="AM59" s="1" t="s">
        <v>28</v>
      </c>
      <c r="AN59" s="1"/>
      <c r="AO59" s="2"/>
      <c r="AP59" s="2"/>
      <c r="BM59" s="1">
        <f t="shared" si="0"/>
        <v>0</v>
      </c>
      <c r="BN59" s="1">
        <v>7</v>
      </c>
      <c r="BO59" s="1">
        <f t="shared" si="1"/>
        <v>0</v>
      </c>
      <c r="BP59" s="1">
        <f t="shared" si="8"/>
        <v>6</v>
      </c>
      <c r="BQ59" s="1">
        <v>54</v>
      </c>
    </row>
    <row r="60" spans="1:69" ht="12.75">
      <c r="A60" t="str">
        <f>IF(Eingabe!$G$15="spielfrei","Tisch 6 :","Tisch 7 :")</f>
        <v>Tisch 7 :</v>
      </c>
      <c r="C60" s="15" t="str">
        <f>Eingabe!$G$13</f>
        <v>Spieler 18</v>
      </c>
      <c r="D60" s="1" t="s">
        <v>1</v>
      </c>
      <c r="E60" s="15" t="str">
        <f>Eingabe!$G$6</f>
        <v>Spieler 11</v>
      </c>
      <c r="F60" s="15"/>
      <c r="G60" s="1" t="s">
        <v>28</v>
      </c>
      <c r="H60" s="1" t="s">
        <v>1</v>
      </c>
      <c r="I60" s="5" t="str">
        <f t="shared" si="19"/>
        <v> </v>
      </c>
      <c r="J60" s="3"/>
      <c r="K60" s="15" t="str">
        <f>Eingabe!$G$12</f>
        <v>Spieler 17</v>
      </c>
      <c r="L60" s="1" t="s">
        <v>1</v>
      </c>
      <c r="M60" s="15" t="str">
        <f>Eingabe!$C$15</f>
        <v>Spieler 10</v>
      </c>
      <c r="N60" s="15"/>
      <c r="O60" s="1" t="s">
        <v>28</v>
      </c>
      <c r="P60" s="1" t="s">
        <v>1</v>
      </c>
      <c r="Q60" s="5" t="str">
        <f t="shared" si="20"/>
        <v> </v>
      </c>
      <c r="R60" s="3"/>
      <c r="S60" s="15" t="str">
        <f>Eingabe!$G$11</f>
        <v>Spieler 16</v>
      </c>
      <c r="T60" s="1" t="s">
        <v>1</v>
      </c>
      <c r="U60" s="15" t="str">
        <f>Eingabe!$C$14</f>
        <v>Spieler 9</v>
      </c>
      <c r="V60" s="15"/>
      <c r="W60" s="1" t="s">
        <v>28</v>
      </c>
      <c r="X60" s="1" t="s">
        <v>1</v>
      </c>
      <c r="Y60" s="5" t="str">
        <f t="shared" si="21"/>
        <v> </v>
      </c>
      <c r="Z60" s="3"/>
      <c r="AA60" s="15" t="str">
        <f>Eingabe!$G$10</f>
        <v>Spieler 15</v>
      </c>
      <c r="AB60" s="1" t="s">
        <v>1</v>
      </c>
      <c r="AC60" s="15" t="str">
        <f>Eingabe!$C$13</f>
        <v>Spieler 8</v>
      </c>
      <c r="AD60" s="15"/>
      <c r="AE60" s="1" t="s">
        <v>28</v>
      </c>
      <c r="AF60" s="1" t="s">
        <v>1</v>
      </c>
      <c r="AG60" s="5" t="str">
        <f t="shared" si="22"/>
        <v> </v>
      </c>
      <c r="AH60" s="3"/>
      <c r="AK60" s="15"/>
      <c r="AL60" s="15"/>
      <c r="AM60" s="1" t="s">
        <v>29</v>
      </c>
      <c r="AN60" s="1"/>
      <c r="AO60" s="2"/>
      <c r="AP60" s="2"/>
      <c r="BM60" s="1">
        <f t="shared" si="0"/>
        <v>0</v>
      </c>
      <c r="BN60" s="1">
        <v>7</v>
      </c>
      <c r="BO60" s="1">
        <f t="shared" si="1"/>
        <v>0</v>
      </c>
      <c r="BP60" s="1">
        <f t="shared" si="8"/>
        <v>6</v>
      </c>
      <c r="BQ60" s="1">
        <v>55</v>
      </c>
    </row>
    <row r="61" spans="1:69" ht="12.75">
      <c r="A61" t="str">
        <f>IF(Eingabe!$G$15="spielfrei","Tisch 7 :","Tisch 8 :")</f>
        <v>Tisch 8 :</v>
      </c>
      <c r="C61" s="15" t="str">
        <f>Eingabe!$G$12</f>
        <v>Spieler 17</v>
      </c>
      <c r="D61" s="1" t="s">
        <v>1</v>
      </c>
      <c r="E61" s="15" t="str">
        <f>Eingabe!$G$7</f>
        <v>Spieler 12</v>
      </c>
      <c r="F61" s="15"/>
      <c r="G61" s="1" t="s">
        <v>28</v>
      </c>
      <c r="H61" s="1" t="s">
        <v>1</v>
      </c>
      <c r="I61" s="5" t="str">
        <f t="shared" si="19"/>
        <v> </v>
      </c>
      <c r="J61" s="3"/>
      <c r="K61" s="15" t="str">
        <f>Eingabe!$G$11</f>
        <v>Spieler 16</v>
      </c>
      <c r="L61" s="1" t="s">
        <v>1</v>
      </c>
      <c r="M61" s="15" t="str">
        <f>Eingabe!$G$6</f>
        <v>Spieler 11</v>
      </c>
      <c r="N61" s="15"/>
      <c r="O61" s="1" t="s">
        <v>28</v>
      </c>
      <c r="P61" s="1" t="s">
        <v>1</v>
      </c>
      <c r="Q61" s="5" t="str">
        <f t="shared" si="20"/>
        <v> </v>
      </c>
      <c r="R61" s="3"/>
      <c r="S61" s="15" t="str">
        <f>Eingabe!$G$10</f>
        <v>Spieler 15</v>
      </c>
      <c r="T61" s="1" t="s">
        <v>1</v>
      </c>
      <c r="U61" s="15" t="str">
        <f>Eingabe!$C$15</f>
        <v>Spieler 10</v>
      </c>
      <c r="V61" s="15"/>
      <c r="W61" s="1" t="s">
        <v>28</v>
      </c>
      <c r="X61" s="1" t="s">
        <v>1</v>
      </c>
      <c r="Y61" s="5" t="str">
        <f t="shared" si="21"/>
        <v> </v>
      </c>
      <c r="Z61" s="3"/>
      <c r="AA61" s="15" t="str">
        <f>Eingabe!$G$9</f>
        <v>Spieler 14</v>
      </c>
      <c r="AB61" s="1" t="s">
        <v>1</v>
      </c>
      <c r="AC61" s="15" t="str">
        <f>Eingabe!$C$14</f>
        <v>Spieler 9</v>
      </c>
      <c r="AD61" s="15"/>
      <c r="AE61" s="1" t="s">
        <v>28</v>
      </c>
      <c r="AF61" s="1" t="s">
        <v>1</v>
      </c>
      <c r="AG61" s="5" t="str">
        <f t="shared" si="22"/>
        <v> </v>
      </c>
      <c r="AH61" s="3"/>
      <c r="AK61" s="15"/>
      <c r="AL61" s="15"/>
      <c r="AM61" s="1" t="s">
        <v>28</v>
      </c>
      <c r="AN61" s="1"/>
      <c r="AO61" s="2"/>
      <c r="AP61" s="2"/>
      <c r="BM61" s="1">
        <f t="shared" si="0"/>
        <v>0</v>
      </c>
      <c r="BN61" s="1">
        <v>7</v>
      </c>
      <c r="BO61" s="1">
        <f t="shared" si="1"/>
        <v>0</v>
      </c>
      <c r="BP61" s="1">
        <f t="shared" si="8"/>
        <v>6</v>
      </c>
      <c r="BQ61" s="1">
        <v>56</v>
      </c>
    </row>
    <row r="62" spans="1:69" ht="12.75">
      <c r="A62" t="str">
        <f>IF(Eingabe!$G$15="spielfrei","Tisch 8 :","Tisch 9 :")</f>
        <v>Tisch 9 :</v>
      </c>
      <c r="C62" s="15" t="str">
        <f>Eingabe!$G$11</f>
        <v>Spieler 16</v>
      </c>
      <c r="D62" s="1" t="s">
        <v>1</v>
      </c>
      <c r="E62" s="15" t="str">
        <f>Eingabe!$G$8</f>
        <v>Spieler 13</v>
      </c>
      <c r="F62" s="15"/>
      <c r="G62" s="1" t="s">
        <v>28</v>
      </c>
      <c r="H62" s="1" t="s">
        <v>1</v>
      </c>
      <c r="I62" s="5" t="str">
        <f t="shared" si="19"/>
        <v> </v>
      </c>
      <c r="J62" s="3"/>
      <c r="K62" s="15" t="str">
        <f>Eingabe!$G$10</f>
        <v>Spieler 15</v>
      </c>
      <c r="L62" s="1" t="s">
        <v>1</v>
      </c>
      <c r="M62" s="15" t="str">
        <f>Eingabe!$G$7</f>
        <v>Spieler 12</v>
      </c>
      <c r="N62" s="15"/>
      <c r="O62" s="1" t="s">
        <v>28</v>
      </c>
      <c r="P62" s="1" t="s">
        <v>1</v>
      </c>
      <c r="Q62" s="5" t="str">
        <f t="shared" si="20"/>
        <v> </v>
      </c>
      <c r="R62" s="3"/>
      <c r="S62" s="15" t="str">
        <f>Eingabe!$G$9</f>
        <v>Spieler 14</v>
      </c>
      <c r="T62" s="1" t="s">
        <v>1</v>
      </c>
      <c r="U62" s="15" t="str">
        <f>Eingabe!$G$6</f>
        <v>Spieler 11</v>
      </c>
      <c r="V62" s="15"/>
      <c r="W62" s="1" t="s">
        <v>28</v>
      </c>
      <c r="X62" s="1" t="s">
        <v>1</v>
      </c>
      <c r="Y62" s="5" t="str">
        <f t="shared" si="21"/>
        <v> </v>
      </c>
      <c r="Z62" s="3"/>
      <c r="AA62" s="15" t="str">
        <f>Eingabe!$G$8</f>
        <v>Spieler 13</v>
      </c>
      <c r="AB62" s="1" t="s">
        <v>1</v>
      </c>
      <c r="AC62" s="15" t="str">
        <f>Eingabe!$C$15</f>
        <v>Spieler 10</v>
      </c>
      <c r="AD62" s="15"/>
      <c r="AE62" s="1" t="s">
        <v>28</v>
      </c>
      <c r="AF62" s="1" t="s">
        <v>1</v>
      </c>
      <c r="AG62" s="5" t="str">
        <f t="shared" si="22"/>
        <v> </v>
      </c>
      <c r="AH62" s="3"/>
      <c r="AK62" s="15"/>
      <c r="AL62" s="15"/>
      <c r="AM62" s="1" t="s">
        <v>28</v>
      </c>
      <c r="AN62" s="1"/>
      <c r="AO62" s="2"/>
      <c r="AP62" s="2"/>
      <c r="BM62" s="1">
        <f t="shared" si="0"/>
        <v>0</v>
      </c>
      <c r="BN62" s="1">
        <v>7</v>
      </c>
      <c r="BO62" s="1">
        <f t="shared" si="1"/>
        <v>0</v>
      </c>
      <c r="BP62" s="1">
        <f t="shared" si="8"/>
        <v>6</v>
      </c>
      <c r="BQ62" s="1">
        <v>57</v>
      </c>
    </row>
    <row r="63" spans="1:69" ht="12.75">
      <c r="A63" t="str">
        <f>IF(Eingabe!$G$15="spielfrei","Tisch 9 :","Tisch 10 :")</f>
        <v>Tisch 10 :</v>
      </c>
      <c r="C63" s="15" t="str">
        <f>Eingabe!$G$10</f>
        <v>Spieler 15</v>
      </c>
      <c r="D63" s="1" t="s">
        <v>1</v>
      </c>
      <c r="E63" s="15" t="str">
        <f>Eingabe!$G$9</f>
        <v>Spieler 14</v>
      </c>
      <c r="F63" s="15"/>
      <c r="G63" s="1" t="s">
        <v>28</v>
      </c>
      <c r="H63" s="1" t="s">
        <v>1</v>
      </c>
      <c r="I63" s="5" t="str">
        <f t="shared" si="19"/>
        <v> </v>
      </c>
      <c r="J63" s="3"/>
      <c r="K63" s="15" t="str">
        <f>Eingabe!$G$9</f>
        <v>Spieler 14</v>
      </c>
      <c r="L63" s="1" t="s">
        <v>1</v>
      </c>
      <c r="M63" s="15" t="str">
        <f>Eingabe!$G$8</f>
        <v>Spieler 13</v>
      </c>
      <c r="N63" s="15"/>
      <c r="O63" s="1" t="s">
        <v>28</v>
      </c>
      <c r="P63" s="1" t="s">
        <v>1</v>
      </c>
      <c r="Q63" s="5" t="str">
        <f t="shared" si="20"/>
        <v> </v>
      </c>
      <c r="R63" s="3"/>
      <c r="S63" s="15" t="str">
        <f>Eingabe!$G$8</f>
        <v>Spieler 13</v>
      </c>
      <c r="T63" s="1" t="s">
        <v>1</v>
      </c>
      <c r="U63" s="15" t="str">
        <f>Eingabe!$G$7</f>
        <v>Spieler 12</v>
      </c>
      <c r="V63" s="15"/>
      <c r="W63" s="1" t="s">
        <v>28</v>
      </c>
      <c r="X63" s="1" t="s">
        <v>1</v>
      </c>
      <c r="Y63" s="5" t="str">
        <f t="shared" si="21"/>
        <v> </v>
      </c>
      <c r="Z63" s="3"/>
      <c r="AA63" s="15" t="str">
        <f>Eingabe!$G$7</f>
        <v>Spieler 12</v>
      </c>
      <c r="AB63" s="1" t="s">
        <v>1</v>
      </c>
      <c r="AC63" s="15" t="str">
        <f>Eingabe!$G$6</f>
        <v>Spieler 11</v>
      </c>
      <c r="AD63" s="15"/>
      <c r="AE63" s="1" t="s">
        <v>28</v>
      </c>
      <c r="AF63" s="1" t="s">
        <v>1</v>
      </c>
      <c r="AG63" s="5" t="str">
        <f t="shared" si="22"/>
        <v> </v>
      </c>
      <c r="AH63" s="3"/>
      <c r="AK63" s="15"/>
      <c r="AL63" s="15"/>
      <c r="AM63" s="1" t="s">
        <v>28</v>
      </c>
      <c r="AN63" s="1"/>
      <c r="AO63" s="2"/>
      <c r="AP63" s="2"/>
      <c r="BM63" s="1">
        <f t="shared" si="0"/>
        <v>0</v>
      </c>
      <c r="BN63" s="1">
        <v>7</v>
      </c>
      <c r="BO63" s="1">
        <f t="shared" si="1"/>
        <v>0</v>
      </c>
      <c r="BP63" s="1">
        <f t="shared" si="8"/>
        <v>6</v>
      </c>
      <c r="BQ63" s="1">
        <v>58</v>
      </c>
    </row>
    <row r="64" spans="41:69" ht="12.75">
      <c r="AO64" s="2"/>
      <c r="AP64" s="2"/>
      <c r="BM64" s="1">
        <f t="shared" si="0"/>
        <v>0</v>
      </c>
      <c r="BN64" s="1">
        <v>7</v>
      </c>
      <c r="BO64" s="1">
        <f t="shared" si="1"/>
        <v>0</v>
      </c>
      <c r="BP64" s="1">
        <f t="shared" si="8"/>
        <v>6</v>
      </c>
      <c r="BQ64" s="1">
        <v>59</v>
      </c>
    </row>
    <row r="65" spans="65:69" ht="12.75">
      <c r="BM65" s="1">
        <f t="shared" si="0"/>
        <v>0</v>
      </c>
      <c r="BN65" s="1">
        <v>7</v>
      </c>
      <c r="BO65" s="1">
        <f t="shared" si="1"/>
        <v>0</v>
      </c>
      <c r="BP65" s="1">
        <f t="shared" si="8"/>
        <v>7</v>
      </c>
      <c r="BQ65" s="1">
        <v>60</v>
      </c>
    </row>
    <row r="66" spans="65:69" ht="12.75">
      <c r="BM66" s="1">
        <f t="shared" si="0"/>
        <v>0</v>
      </c>
      <c r="BN66" s="1">
        <v>7</v>
      </c>
      <c r="BO66" s="1">
        <f t="shared" si="1"/>
        <v>0</v>
      </c>
      <c r="BP66" s="1">
        <f t="shared" si="8"/>
        <v>7</v>
      </c>
      <c r="BQ66" s="1">
        <v>61</v>
      </c>
    </row>
    <row r="67" spans="65:69" ht="12.75">
      <c r="BM67" s="1">
        <f t="shared" si="0"/>
        <v>0</v>
      </c>
      <c r="BN67" s="1">
        <v>7</v>
      </c>
      <c r="BO67" s="1">
        <f t="shared" si="1"/>
        <v>0</v>
      </c>
      <c r="BP67" s="1">
        <f t="shared" si="8"/>
        <v>7</v>
      </c>
      <c r="BQ67" s="1">
        <v>62</v>
      </c>
    </row>
    <row r="68" spans="65:69" ht="12.75">
      <c r="BM68" s="1">
        <f t="shared" si="0"/>
        <v>0</v>
      </c>
      <c r="BN68" s="1">
        <v>8</v>
      </c>
      <c r="BO68" s="1">
        <f t="shared" si="1"/>
        <v>0</v>
      </c>
      <c r="BP68" s="1">
        <f t="shared" si="8"/>
        <v>7</v>
      </c>
      <c r="BQ68" s="1">
        <v>63</v>
      </c>
    </row>
    <row r="69" spans="65:69" ht="12.75">
      <c r="BM69" s="1">
        <f t="shared" si="0"/>
        <v>0</v>
      </c>
      <c r="BN69" s="1">
        <v>8</v>
      </c>
      <c r="BO69" s="1">
        <f t="shared" si="1"/>
        <v>0</v>
      </c>
      <c r="BP69" s="1">
        <f t="shared" si="8"/>
        <v>7</v>
      </c>
      <c r="BQ69" s="1">
        <v>64</v>
      </c>
    </row>
    <row r="70" spans="65:69" ht="12.75">
      <c r="BM70" s="1">
        <f aca="true" t="shared" si="23" ref="BM70:BM133">IF($BM$4=BQ70,BN70,0)</f>
        <v>0</v>
      </c>
      <c r="BN70" s="1">
        <v>8</v>
      </c>
      <c r="BO70" s="1">
        <f aca="true" t="shared" si="24" ref="BO70:BO133">IF($BO$4=BQ70,BP70,0)</f>
        <v>0</v>
      </c>
      <c r="BP70" s="1">
        <f t="shared" si="8"/>
        <v>7</v>
      </c>
      <c r="BQ70" s="1">
        <v>65</v>
      </c>
    </row>
    <row r="71" spans="65:69" ht="12.75">
      <c r="BM71" s="1">
        <f t="shared" si="23"/>
        <v>0</v>
      </c>
      <c r="BN71" s="1">
        <v>8</v>
      </c>
      <c r="BO71" s="1">
        <f t="shared" si="24"/>
        <v>0</v>
      </c>
      <c r="BP71" s="1">
        <f t="shared" si="8"/>
        <v>7</v>
      </c>
      <c r="BQ71" s="1">
        <v>66</v>
      </c>
    </row>
    <row r="72" spans="65:69" ht="12.75">
      <c r="BM72" s="1">
        <f t="shared" si="23"/>
        <v>0</v>
      </c>
      <c r="BN72" s="1">
        <v>8</v>
      </c>
      <c r="BO72" s="1">
        <f t="shared" si="24"/>
        <v>0</v>
      </c>
      <c r="BP72" s="1">
        <f t="shared" si="8"/>
        <v>7</v>
      </c>
      <c r="BQ72" s="1">
        <v>67</v>
      </c>
    </row>
    <row r="73" spans="65:69" ht="12.75">
      <c r="BM73" s="1">
        <f t="shared" si="23"/>
        <v>0</v>
      </c>
      <c r="BN73" s="1">
        <v>8</v>
      </c>
      <c r="BO73" s="1">
        <f t="shared" si="24"/>
        <v>0</v>
      </c>
      <c r="BP73" s="1">
        <f t="shared" si="8"/>
        <v>7</v>
      </c>
      <c r="BQ73" s="1">
        <v>68</v>
      </c>
    </row>
    <row r="74" spans="65:69" ht="12.75">
      <c r="BM74" s="1">
        <f t="shared" si="23"/>
        <v>0</v>
      </c>
      <c r="BN74" s="1">
        <v>8</v>
      </c>
      <c r="BO74" s="1">
        <f t="shared" si="24"/>
        <v>0</v>
      </c>
      <c r="BP74" s="1">
        <f t="shared" si="8"/>
        <v>7</v>
      </c>
      <c r="BQ74" s="1">
        <v>69</v>
      </c>
    </row>
    <row r="75" spans="65:69" ht="12.75">
      <c r="BM75" s="1">
        <f t="shared" si="23"/>
        <v>0</v>
      </c>
      <c r="BN75" s="1">
        <v>8</v>
      </c>
      <c r="BO75" s="1">
        <f t="shared" si="24"/>
        <v>0</v>
      </c>
      <c r="BP75" s="1">
        <f t="shared" si="8"/>
        <v>8</v>
      </c>
      <c r="BQ75" s="1">
        <v>70</v>
      </c>
    </row>
    <row r="76" spans="65:69" ht="12.75">
      <c r="BM76" s="1">
        <f t="shared" si="23"/>
        <v>0</v>
      </c>
      <c r="BN76" s="1">
        <v>8</v>
      </c>
      <c r="BO76" s="1">
        <f t="shared" si="24"/>
        <v>0</v>
      </c>
      <c r="BP76" s="1">
        <f t="shared" si="8"/>
        <v>8</v>
      </c>
      <c r="BQ76" s="1">
        <v>71</v>
      </c>
    </row>
    <row r="77" spans="65:69" ht="12.75">
      <c r="BM77" s="1">
        <f t="shared" si="23"/>
        <v>0</v>
      </c>
      <c r="BN77" s="1">
        <v>9</v>
      </c>
      <c r="BO77" s="1">
        <f t="shared" si="24"/>
        <v>0</v>
      </c>
      <c r="BP77" s="1">
        <f t="shared" si="8"/>
        <v>8</v>
      </c>
      <c r="BQ77" s="1">
        <v>72</v>
      </c>
    </row>
    <row r="78" spans="65:69" ht="12.75">
      <c r="BM78" s="1">
        <f t="shared" si="23"/>
        <v>0</v>
      </c>
      <c r="BN78" s="1">
        <v>9</v>
      </c>
      <c r="BO78" s="1">
        <f t="shared" si="24"/>
        <v>0</v>
      </c>
      <c r="BP78" s="1">
        <f t="shared" si="8"/>
        <v>8</v>
      </c>
      <c r="BQ78" s="1">
        <v>73</v>
      </c>
    </row>
    <row r="79" spans="65:69" ht="12.75">
      <c r="BM79" s="1">
        <f t="shared" si="23"/>
        <v>0</v>
      </c>
      <c r="BN79" s="1">
        <v>9</v>
      </c>
      <c r="BO79" s="1">
        <f t="shared" si="24"/>
        <v>0</v>
      </c>
      <c r="BP79" s="1">
        <f t="shared" si="8"/>
        <v>8</v>
      </c>
      <c r="BQ79" s="1">
        <v>74</v>
      </c>
    </row>
    <row r="80" spans="65:69" ht="12.75">
      <c r="BM80" s="1">
        <f t="shared" si="23"/>
        <v>0</v>
      </c>
      <c r="BN80" s="1">
        <v>9</v>
      </c>
      <c r="BO80" s="1">
        <f t="shared" si="24"/>
        <v>0</v>
      </c>
      <c r="BP80" s="1">
        <f aca="true" t="shared" si="25" ref="BP80:BP143">BP70+1</f>
        <v>8</v>
      </c>
      <c r="BQ80" s="1">
        <v>75</v>
      </c>
    </row>
    <row r="81" spans="65:69" ht="12.75">
      <c r="BM81" s="1">
        <f t="shared" si="23"/>
        <v>0</v>
      </c>
      <c r="BN81" s="1">
        <v>9</v>
      </c>
      <c r="BO81" s="1">
        <f t="shared" si="24"/>
        <v>0</v>
      </c>
      <c r="BP81" s="1">
        <f t="shared" si="25"/>
        <v>8</v>
      </c>
      <c r="BQ81" s="1">
        <v>76</v>
      </c>
    </row>
    <row r="82" spans="65:69" ht="12.75">
      <c r="BM82" s="1">
        <f t="shared" si="23"/>
        <v>0</v>
      </c>
      <c r="BN82" s="1">
        <v>9</v>
      </c>
      <c r="BO82" s="1">
        <f t="shared" si="24"/>
        <v>0</v>
      </c>
      <c r="BP82" s="1">
        <f t="shared" si="25"/>
        <v>8</v>
      </c>
      <c r="BQ82" s="1">
        <v>77</v>
      </c>
    </row>
    <row r="83" spans="65:69" ht="12.75">
      <c r="BM83" s="1">
        <f t="shared" si="23"/>
        <v>0</v>
      </c>
      <c r="BN83" s="1">
        <v>9</v>
      </c>
      <c r="BO83" s="1">
        <f t="shared" si="24"/>
        <v>0</v>
      </c>
      <c r="BP83" s="1">
        <f t="shared" si="25"/>
        <v>8</v>
      </c>
      <c r="BQ83" s="1">
        <v>78</v>
      </c>
    </row>
    <row r="84" spans="65:69" ht="12.75">
      <c r="BM84" s="1">
        <f t="shared" si="23"/>
        <v>0</v>
      </c>
      <c r="BN84" s="1">
        <v>9</v>
      </c>
      <c r="BO84" s="1">
        <f t="shared" si="24"/>
        <v>0</v>
      </c>
      <c r="BP84" s="1">
        <f t="shared" si="25"/>
        <v>8</v>
      </c>
      <c r="BQ84" s="1">
        <v>79</v>
      </c>
    </row>
    <row r="85" spans="65:69" ht="12.75">
      <c r="BM85" s="1">
        <f t="shared" si="23"/>
        <v>0</v>
      </c>
      <c r="BN85" s="1">
        <v>9</v>
      </c>
      <c r="BO85" s="1">
        <f t="shared" si="24"/>
        <v>0</v>
      </c>
      <c r="BP85" s="1">
        <f t="shared" si="25"/>
        <v>9</v>
      </c>
      <c r="BQ85" s="1">
        <v>80</v>
      </c>
    </row>
    <row r="86" spans="65:69" ht="12.75">
      <c r="BM86" s="1">
        <f t="shared" si="23"/>
        <v>0</v>
      </c>
      <c r="BN86" s="1">
        <v>10</v>
      </c>
      <c r="BO86" s="1">
        <f t="shared" si="24"/>
        <v>0</v>
      </c>
      <c r="BP86" s="1">
        <f t="shared" si="25"/>
        <v>9</v>
      </c>
      <c r="BQ86" s="1">
        <v>81</v>
      </c>
    </row>
    <row r="87" spans="65:69" ht="12.75">
      <c r="BM87" s="1">
        <f t="shared" si="23"/>
        <v>0</v>
      </c>
      <c r="BN87" s="1">
        <v>10</v>
      </c>
      <c r="BO87" s="1">
        <f t="shared" si="24"/>
        <v>0</v>
      </c>
      <c r="BP87" s="1">
        <f t="shared" si="25"/>
        <v>9</v>
      </c>
      <c r="BQ87" s="1">
        <v>82</v>
      </c>
    </row>
    <row r="88" spans="65:69" ht="12.75">
      <c r="BM88" s="1">
        <f t="shared" si="23"/>
        <v>0</v>
      </c>
      <c r="BN88" s="1">
        <v>10</v>
      </c>
      <c r="BO88" s="1">
        <f t="shared" si="24"/>
        <v>0</v>
      </c>
      <c r="BP88" s="1">
        <f t="shared" si="25"/>
        <v>9</v>
      </c>
      <c r="BQ88" s="1">
        <v>83</v>
      </c>
    </row>
    <row r="89" spans="65:69" ht="12.75">
      <c r="BM89" s="1">
        <f t="shared" si="23"/>
        <v>0</v>
      </c>
      <c r="BN89" s="1">
        <v>10</v>
      </c>
      <c r="BO89" s="1">
        <f t="shared" si="24"/>
        <v>0</v>
      </c>
      <c r="BP89" s="1">
        <f t="shared" si="25"/>
        <v>9</v>
      </c>
      <c r="BQ89" s="1">
        <v>84</v>
      </c>
    </row>
    <row r="90" spans="65:69" ht="12.75">
      <c r="BM90" s="1">
        <f t="shared" si="23"/>
        <v>0</v>
      </c>
      <c r="BN90" s="1">
        <v>10</v>
      </c>
      <c r="BO90" s="1">
        <f t="shared" si="24"/>
        <v>0</v>
      </c>
      <c r="BP90" s="1">
        <f t="shared" si="25"/>
        <v>9</v>
      </c>
      <c r="BQ90" s="1">
        <v>85</v>
      </c>
    </row>
    <row r="91" spans="65:69" ht="12.75">
      <c r="BM91" s="1">
        <f t="shared" si="23"/>
        <v>0</v>
      </c>
      <c r="BN91" s="1">
        <v>10</v>
      </c>
      <c r="BO91" s="1">
        <f t="shared" si="24"/>
        <v>0</v>
      </c>
      <c r="BP91" s="1">
        <f t="shared" si="25"/>
        <v>9</v>
      </c>
      <c r="BQ91" s="1">
        <v>86</v>
      </c>
    </row>
    <row r="92" spans="65:69" ht="12.75">
      <c r="BM92" s="1">
        <f t="shared" si="23"/>
        <v>0</v>
      </c>
      <c r="BN92" s="1">
        <v>10</v>
      </c>
      <c r="BO92" s="1">
        <f t="shared" si="24"/>
        <v>0</v>
      </c>
      <c r="BP92" s="1">
        <f t="shared" si="25"/>
        <v>9</v>
      </c>
      <c r="BQ92" s="1">
        <v>87</v>
      </c>
    </row>
    <row r="93" spans="65:69" ht="12.75">
      <c r="BM93" s="1">
        <f t="shared" si="23"/>
        <v>0</v>
      </c>
      <c r="BN93" s="1">
        <v>10</v>
      </c>
      <c r="BO93" s="1">
        <f t="shared" si="24"/>
        <v>0</v>
      </c>
      <c r="BP93" s="1">
        <f t="shared" si="25"/>
        <v>9</v>
      </c>
      <c r="BQ93" s="1">
        <v>88</v>
      </c>
    </row>
    <row r="94" spans="65:69" ht="12.75">
      <c r="BM94" s="1">
        <f t="shared" si="23"/>
        <v>0</v>
      </c>
      <c r="BN94" s="1">
        <v>10</v>
      </c>
      <c r="BO94" s="1">
        <f t="shared" si="24"/>
        <v>0</v>
      </c>
      <c r="BP94" s="1">
        <f t="shared" si="25"/>
        <v>9</v>
      </c>
      <c r="BQ94" s="1">
        <v>89</v>
      </c>
    </row>
    <row r="95" spans="65:69" ht="12.75">
      <c r="BM95" s="1">
        <f t="shared" si="23"/>
        <v>0</v>
      </c>
      <c r="BN95" s="1">
        <v>11</v>
      </c>
      <c r="BO95" s="1">
        <f t="shared" si="24"/>
        <v>0</v>
      </c>
      <c r="BP95" s="1">
        <f t="shared" si="25"/>
        <v>10</v>
      </c>
      <c r="BQ95" s="1">
        <v>90</v>
      </c>
    </row>
    <row r="96" spans="65:69" ht="12.75">
      <c r="BM96" s="1">
        <f t="shared" si="23"/>
        <v>0</v>
      </c>
      <c r="BN96" s="1">
        <v>11</v>
      </c>
      <c r="BO96" s="1">
        <f t="shared" si="24"/>
        <v>0</v>
      </c>
      <c r="BP96" s="1">
        <f t="shared" si="25"/>
        <v>10</v>
      </c>
      <c r="BQ96" s="1">
        <v>91</v>
      </c>
    </row>
    <row r="97" spans="65:69" ht="12.75">
      <c r="BM97" s="1">
        <f t="shared" si="23"/>
        <v>0</v>
      </c>
      <c r="BN97" s="1">
        <v>11</v>
      </c>
      <c r="BO97" s="1">
        <f t="shared" si="24"/>
        <v>0</v>
      </c>
      <c r="BP97" s="1">
        <f t="shared" si="25"/>
        <v>10</v>
      </c>
      <c r="BQ97" s="1">
        <v>92</v>
      </c>
    </row>
    <row r="98" spans="65:69" ht="12.75">
      <c r="BM98" s="1">
        <f t="shared" si="23"/>
        <v>0</v>
      </c>
      <c r="BN98" s="1">
        <v>11</v>
      </c>
      <c r="BO98" s="1">
        <f t="shared" si="24"/>
        <v>0</v>
      </c>
      <c r="BP98" s="1">
        <f t="shared" si="25"/>
        <v>10</v>
      </c>
      <c r="BQ98" s="1">
        <v>93</v>
      </c>
    </row>
    <row r="99" spans="65:69" ht="12.75">
      <c r="BM99" s="1">
        <f t="shared" si="23"/>
        <v>0</v>
      </c>
      <c r="BN99" s="1">
        <v>11</v>
      </c>
      <c r="BO99" s="1">
        <f t="shared" si="24"/>
        <v>0</v>
      </c>
      <c r="BP99" s="1">
        <f t="shared" si="25"/>
        <v>10</v>
      </c>
      <c r="BQ99" s="1">
        <v>94</v>
      </c>
    </row>
    <row r="100" spans="65:69" ht="12.75">
      <c r="BM100" s="1">
        <f t="shared" si="23"/>
        <v>0</v>
      </c>
      <c r="BN100" s="1">
        <v>11</v>
      </c>
      <c r="BO100" s="1">
        <f t="shared" si="24"/>
        <v>0</v>
      </c>
      <c r="BP100" s="1">
        <f t="shared" si="25"/>
        <v>10</v>
      </c>
      <c r="BQ100" s="1">
        <v>95</v>
      </c>
    </row>
    <row r="101" spans="65:69" ht="12.75">
      <c r="BM101" s="1">
        <f t="shared" si="23"/>
        <v>0</v>
      </c>
      <c r="BN101" s="1">
        <v>11</v>
      </c>
      <c r="BO101" s="1">
        <f t="shared" si="24"/>
        <v>0</v>
      </c>
      <c r="BP101" s="1">
        <f t="shared" si="25"/>
        <v>10</v>
      </c>
      <c r="BQ101" s="1">
        <v>96</v>
      </c>
    </row>
    <row r="102" spans="65:69" ht="12.75">
      <c r="BM102" s="1">
        <f t="shared" si="23"/>
        <v>0</v>
      </c>
      <c r="BN102" s="1">
        <v>11</v>
      </c>
      <c r="BO102" s="1">
        <f t="shared" si="24"/>
        <v>0</v>
      </c>
      <c r="BP102" s="1">
        <f t="shared" si="25"/>
        <v>10</v>
      </c>
      <c r="BQ102" s="1">
        <v>97</v>
      </c>
    </row>
    <row r="103" spans="65:69" ht="12.75">
      <c r="BM103" s="1">
        <f t="shared" si="23"/>
        <v>0</v>
      </c>
      <c r="BN103" s="1">
        <v>11</v>
      </c>
      <c r="BO103" s="1">
        <f t="shared" si="24"/>
        <v>0</v>
      </c>
      <c r="BP103" s="1">
        <f t="shared" si="25"/>
        <v>10</v>
      </c>
      <c r="BQ103" s="1">
        <v>98</v>
      </c>
    </row>
    <row r="104" spans="65:69" ht="12.75">
      <c r="BM104" s="1">
        <f t="shared" si="23"/>
        <v>0</v>
      </c>
      <c r="BN104" s="1">
        <v>12</v>
      </c>
      <c r="BO104" s="1">
        <f t="shared" si="24"/>
        <v>0</v>
      </c>
      <c r="BP104" s="1">
        <f t="shared" si="25"/>
        <v>10</v>
      </c>
      <c r="BQ104" s="1">
        <v>99</v>
      </c>
    </row>
    <row r="105" spans="65:69" ht="12.75">
      <c r="BM105" s="1">
        <f t="shared" si="23"/>
        <v>0</v>
      </c>
      <c r="BN105" s="1">
        <v>12</v>
      </c>
      <c r="BO105" s="1">
        <f t="shared" si="24"/>
        <v>0</v>
      </c>
      <c r="BP105" s="1">
        <f t="shared" si="25"/>
        <v>11</v>
      </c>
      <c r="BQ105" s="1">
        <v>100</v>
      </c>
    </row>
    <row r="106" spans="65:69" ht="12.75">
      <c r="BM106" s="1">
        <f t="shared" si="23"/>
        <v>0</v>
      </c>
      <c r="BN106" s="1">
        <v>12</v>
      </c>
      <c r="BO106" s="1">
        <f t="shared" si="24"/>
        <v>0</v>
      </c>
      <c r="BP106" s="1">
        <f t="shared" si="25"/>
        <v>11</v>
      </c>
      <c r="BQ106" s="1">
        <v>101</v>
      </c>
    </row>
    <row r="107" spans="65:69" ht="12.75">
      <c r="BM107" s="1">
        <f t="shared" si="23"/>
        <v>0</v>
      </c>
      <c r="BN107" s="1">
        <v>12</v>
      </c>
      <c r="BO107" s="1">
        <f t="shared" si="24"/>
        <v>0</v>
      </c>
      <c r="BP107" s="1">
        <f t="shared" si="25"/>
        <v>11</v>
      </c>
      <c r="BQ107" s="1">
        <v>102</v>
      </c>
    </row>
    <row r="108" spans="65:69" ht="12.75">
      <c r="BM108" s="1">
        <f t="shared" si="23"/>
        <v>0</v>
      </c>
      <c r="BN108" s="1">
        <v>12</v>
      </c>
      <c r="BO108" s="1">
        <f t="shared" si="24"/>
        <v>0</v>
      </c>
      <c r="BP108" s="1">
        <f t="shared" si="25"/>
        <v>11</v>
      </c>
      <c r="BQ108" s="1">
        <v>103</v>
      </c>
    </row>
    <row r="109" spans="65:69" ht="12.75">
      <c r="BM109" s="1">
        <f t="shared" si="23"/>
        <v>0</v>
      </c>
      <c r="BN109" s="1">
        <v>12</v>
      </c>
      <c r="BO109" s="1">
        <f t="shared" si="24"/>
        <v>0</v>
      </c>
      <c r="BP109" s="1">
        <f t="shared" si="25"/>
        <v>11</v>
      </c>
      <c r="BQ109" s="1">
        <v>104</v>
      </c>
    </row>
    <row r="110" spans="65:69" ht="12.75">
      <c r="BM110" s="1">
        <f t="shared" si="23"/>
        <v>0</v>
      </c>
      <c r="BN110" s="1">
        <v>12</v>
      </c>
      <c r="BO110" s="1">
        <f t="shared" si="24"/>
        <v>0</v>
      </c>
      <c r="BP110" s="1">
        <f t="shared" si="25"/>
        <v>11</v>
      </c>
      <c r="BQ110" s="1">
        <v>105</v>
      </c>
    </row>
    <row r="111" spans="65:69" ht="12.75">
      <c r="BM111" s="1">
        <f t="shared" si="23"/>
        <v>0</v>
      </c>
      <c r="BN111" s="1">
        <v>12</v>
      </c>
      <c r="BO111" s="1">
        <f t="shared" si="24"/>
        <v>0</v>
      </c>
      <c r="BP111" s="1">
        <f t="shared" si="25"/>
        <v>11</v>
      </c>
      <c r="BQ111" s="1">
        <v>106</v>
      </c>
    </row>
    <row r="112" spans="65:69" ht="12.75">
      <c r="BM112" s="1">
        <f t="shared" si="23"/>
        <v>0</v>
      </c>
      <c r="BN112" s="1">
        <v>12</v>
      </c>
      <c r="BO112" s="1">
        <f t="shared" si="24"/>
        <v>0</v>
      </c>
      <c r="BP112" s="1">
        <f t="shared" si="25"/>
        <v>11</v>
      </c>
      <c r="BQ112" s="1">
        <v>107</v>
      </c>
    </row>
    <row r="113" spans="65:69" ht="12.75">
      <c r="BM113" s="1">
        <f t="shared" si="23"/>
        <v>0</v>
      </c>
      <c r="BN113" s="1">
        <v>13</v>
      </c>
      <c r="BO113" s="1">
        <f t="shared" si="24"/>
        <v>0</v>
      </c>
      <c r="BP113" s="1">
        <f t="shared" si="25"/>
        <v>11</v>
      </c>
      <c r="BQ113" s="1">
        <v>108</v>
      </c>
    </row>
    <row r="114" spans="65:69" ht="12.75">
      <c r="BM114" s="1">
        <f t="shared" si="23"/>
        <v>0</v>
      </c>
      <c r="BN114" s="1">
        <v>13</v>
      </c>
      <c r="BO114" s="1">
        <f t="shared" si="24"/>
        <v>0</v>
      </c>
      <c r="BP114" s="1">
        <f t="shared" si="25"/>
        <v>11</v>
      </c>
      <c r="BQ114" s="1">
        <v>109</v>
      </c>
    </row>
    <row r="115" spans="65:69" ht="12.75">
      <c r="BM115" s="1">
        <f t="shared" si="23"/>
        <v>0</v>
      </c>
      <c r="BN115" s="1">
        <v>13</v>
      </c>
      <c r="BO115" s="1">
        <f t="shared" si="24"/>
        <v>0</v>
      </c>
      <c r="BP115" s="1">
        <f t="shared" si="25"/>
        <v>12</v>
      </c>
      <c r="BQ115" s="1">
        <v>110</v>
      </c>
    </row>
    <row r="116" spans="65:69" ht="12.75">
      <c r="BM116" s="1">
        <f t="shared" si="23"/>
        <v>0</v>
      </c>
      <c r="BN116" s="1">
        <v>13</v>
      </c>
      <c r="BO116" s="1">
        <f t="shared" si="24"/>
        <v>0</v>
      </c>
      <c r="BP116" s="1">
        <f t="shared" si="25"/>
        <v>12</v>
      </c>
      <c r="BQ116" s="1">
        <v>111</v>
      </c>
    </row>
    <row r="117" spans="65:69" ht="12.75">
      <c r="BM117" s="1">
        <f t="shared" si="23"/>
        <v>0</v>
      </c>
      <c r="BN117" s="1">
        <v>13</v>
      </c>
      <c r="BO117" s="1">
        <f t="shared" si="24"/>
        <v>0</v>
      </c>
      <c r="BP117" s="1">
        <f t="shared" si="25"/>
        <v>12</v>
      </c>
      <c r="BQ117" s="1">
        <v>112</v>
      </c>
    </row>
    <row r="118" spans="65:69" ht="12.75">
      <c r="BM118" s="1">
        <f t="shared" si="23"/>
        <v>0</v>
      </c>
      <c r="BN118" s="1">
        <v>13</v>
      </c>
      <c r="BO118" s="1">
        <f t="shared" si="24"/>
        <v>0</v>
      </c>
      <c r="BP118" s="1">
        <f t="shared" si="25"/>
        <v>12</v>
      </c>
      <c r="BQ118" s="1">
        <v>113</v>
      </c>
    </row>
    <row r="119" spans="65:69" ht="12.75">
      <c r="BM119" s="1">
        <f t="shared" si="23"/>
        <v>0</v>
      </c>
      <c r="BN119" s="1">
        <v>13</v>
      </c>
      <c r="BO119" s="1">
        <f t="shared" si="24"/>
        <v>0</v>
      </c>
      <c r="BP119" s="1">
        <f t="shared" si="25"/>
        <v>12</v>
      </c>
      <c r="BQ119" s="1">
        <v>114</v>
      </c>
    </row>
    <row r="120" spans="65:69" ht="12.75">
      <c r="BM120" s="1">
        <f t="shared" si="23"/>
        <v>0</v>
      </c>
      <c r="BN120" s="1">
        <v>13</v>
      </c>
      <c r="BO120" s="1">
        <f t="shared" si="24"/>
        <v>0</v>
      </c>
      <c r="BP120" s="1">
        <f t="shared" si="25"/>
        <v>12</v>
      </c>
      <c r="BQ120" s="1">
        <v>115</v>
      </c>
    </row>
    <row r="121" spans="65:69" ht="12.75">
      <c r="BM121" s="1">
        <f t="shared" si="23"/>
        <v>0</v>
      </c>
      <c r="BN121" s="1">
        <v>13</v>
      </c>
      <c r="BO121" s="1">
        <f t="shared" si="24"/>
        <v>0</v>
      </c>
      <c r="BP121" s="1">
        <f t="shared" si="25"/>
        <v>12</v>
      </c>
      <c r="BQ121" s="1">
        <v>116</v>
      </c>
    </row>
    <row r="122" spans="65:69" ht="12.75">
      <c r="BM122" s="1">
        <f t="shared" si="23"/>
        <v>0</v>
      </c>
      <c r="BN122" s="1">
        <v>14</v>
      </c>
      <c r="BO122" s="1">
        <f t="shared" si="24"/>
        <v>0</v>
      </c>
      <c r="BP122" s="1">
        <f t="shared" si="25"/>
        <v>12</v>
      </c>
      <c r="BQ122" s="1">
        <v>117</v>
      </c>
    </row>
    <row r="123" spans="65:69" ht="12.75">
      <c r="BM123" s="1">
        <f t="shared" si="23"/>
        <v>0</v>
      </c>
      <c r="BN123" s="1">
        <v>14</v>
      </c>
      <c r="BO123" s="1">
        <f t="shared" si="24"/>
        <v>0</v>
      </c>
      <c r="BP123" s="1">
        <f t="shared" si="25"/>
        <v>12</v>
      </c>
      <c r="BQ123" s="1">
        <v>118</v>
      </c>
    </row>
    <row r="124" spans="65:69" ht="12.75">
      <c r="BM124" s="1">
        <f t="shared" si="23"/>
        <v>0</v>
      </c>
      <c r="BN124" s="1">
        <v>14</v>
      </c>
      <c r="BO124" s="1">
        <f t="shared" si="24"/>
        <v>0</v>
      </c>
      <c r="BP124" s="1">
        <f t="shared" si="25"/>
        <v>12</v>
      </c>
      <c r="BQ124" s="1">
        <v>119</v>
      </c>
    </row>
    <row r="125" spans="65:69" ht="12.75">
      <c r="BM125" s="1">
        <f t="shared" si="23"/>
        <v>0</v>
      </c>
      <c r="BN125" s="1">
        <v>14</v>
      </c>
      <c r="BO125" s="1">
        <f t="shared" si="24"/>
        <v>0</v>
      </c>
      <c r="BP125" s="1">
        <f t="shared" si="25"/>
        <v>13</v>
      </c>
      <c r="BQ125" s="1">
        <v>120</v>
      </c>
    </row>
    <row r="126" spans="65:69" ht="12.75">
      <c r="BM126" s="1">
        <f t="shared" si="23"/>
        <v>0</v>
      </c>
      <c r="BN126" s="1">
        <v>14</v>
      </c>
      <c r="BO126" s="1">
        <f t="shared" si="24"/>
        <v>0</v>
      </c>
      <c r="BP126" s="1">
        <f t="shared" si="25"/>
        <v>13</v>
      </c>
      <c r="BQ126" s="1">
        <v>121</v>
      </c>
    </row>
    <row r="127" spans="65:69" ht="12.75">
      <c r="BM127" s="1">
        <f t="shared" si="23"/>
        <v>0</v>
      </c>
      <c r="BN127" s="1">
        <v>14</v>
      </c>
      <c r="BO127" s="1">
        <f t="shared" si="24"/>
        <v>0</v>
      </c>
      <c r="BP127" s="1">
        <f t="shared" si="25"/>
        <v>13</v>
      </c>
      <c r="BQ127" s="1">
        <v>122</v>
      </c>
    </row>
    <row r="128" spans="65:69" ht="12.75">
      <c r="BM128" s="1">
        <f t="shared" si="23"/>
        <v>0</v>
      </c>
      <c r="BN128" s="1">
        <v>14</v>
      </c>
      <c r="BO128" s="1">
        <f t="shared" si="24"/>
        <v>0</v>
      </c>
      <c r="BP128" s="1">
        <f t="shared" si="25"/>
        <v>13</v>
      </c>
      <c r="BQ128" s="1">
        <v>123</v>
      </c>
    </row>
    <row r="129" spans="65:69" ht="12.75">
      <c r="BM129" s="1">
        <f t="shared" si="23"/>
        <v>0</v>
      </c>
      <c r="BN129" s="1">
        <v>14</v>
      </c>
      <c r="BO129" s="1">
        <f t="shared" si="24"/>
        <v>0</v>
      </c>
      <c r="BP129" s="1">
        <f t="shared" si="25"/>
        <v>13</v>
      </c>
      <c r="BQ129" s="1">
        <v>124</v>
      </c>
    </row>
    <row r="130" spans="65:69" ht="12.75">
      <c r="BM130" s="1">
        <f t="shared" si="23"/>
        <v>0</v>
      </c>
      <c r="BN130" s="1">
        <v>14</v>
      </c>
      <c r="BO130" s="1">
        <f t="shared" si="24"/>
        <v>0</v>
      </c>
      <c r="BP130" s="1">
        <f t="shared" si="25"/>
        <v>13</v>
      </c>
      <c r="BQ130" s="1">
        <v>125</v>
      </c>
    </row>
    <row r="131" spans="65:69" ht="12.75">
      <c r="BM131" s="1">
        <f t="shared" si="23"/>
        <v>0</v>
      </c>
      <c r="BN131" s="1">
        <v>15</v>
      </c>
      <c r="BO131" s="1">
        <f t="shared" si="24"/>
        <v>0</v>
      </c>
      <c r="BP131" s="1">
        <f t="shared" si="25"/>
        <v>13</v>
      </c>
      <c r="BQ131" s="1">
        <v>126</v>
      </c>
    </row>
    <row r="132" spans="65:69" ht="12.75">
      <c r="BM132" s="1">
        <f t="shared" si="23"/>
        <v>0</v>
      </c>
      <c r="BN132" s="1">
        <v>15</v>
      </c>
      <c r="BO132" s="1">
        <f t="shared" si="24"/>
        <v>0</v>
      </c>
      <c r="BP132" s="1">
        <f t="shared" si="25"/>
        <v>13</v>
      </c>
      <c r="BQ132" s="1">
        <v>127</v>
      </c>
    </row>
    <row r="133" spans="65:69" ht="12.75">
      <c r="BM133" s="1">
        <f t="shared" si="23"/>
        <v>0</v>
      </c>
      <c r="BN133" s="1">
        <v>15</v>
      </c>
      <c r="BO133" s="1">
        <f t="shared" si="24"/>
        <v>0</v>
      </c>
      <c r="BP133" s="1">
        <f t="shared" si="25"/>
        <v>13</v>
      </c>
      <c r="BQ133" s="1">
        <v>128</v>
      </c>
    </row>
    <row r="134" spans="65:69" ht="12.75">
      <c r="BM134" s="1">
        <f aca="true" t="shared" si="26" ref="BM134:BM176">IF($BM$4=BQ134,BN134,0)</f>
        <v>0</v>
      </c>
      <c r="BN134" s="1">
        <v>15</v>
      </c>
      <c r="BO134" s="1">
        <f aca="true" t="shared" si="27" ref="BO134:BO195">IF($BO$4=BQ134,BP134,0)</f>
        <v>0</v>
      </c>
      <c r="BP134" s="1">
        <f t="shared" si="25"/>
        <v>13</v>
      </c>
      <c r="BQ134" s="1">
        <v>129</v>
      </c>
    </row>
    <row r="135" spans="65:69" ht="12.75">
      <c r="BM135" s="1">
        <f t="shared" si="26"/>
        <v>0</v>
      </c>
      <c r="BN135" s="1">
        <v>15</v>
      </c>
      <c r="BO135" s="1">
        <f t="shared" si="27"/>
        <v>0</v>
      </c>
      <c r="BP135" s="1">
        <f t="shared" si="25"/>
        <v>14</v>
      </c>
      <c r="BQ135" s="1">
        <v>130</v>
      </c>
    </row>
    <row r="136" spans="65:69" ht="12.75">
      <c r="BM136" s="1">
        <f t="shared" si="26"/>
        <v>0</v>
      </c>
      <c r="BN136" s="1">
        <v>15</v>
      </c>
      <c r="BO136" s="1">
        <f t="shared" si="27"/>
        <v>0</v>
      </c>
      <c r="BP136" s="1">
        <f t="shared" si="25"/>
        <v>14</v>
      </c>
      <c r="BQ136" s="1">
        <v>131</v>
      </c>
    </row>
    <row r="137" spans="65:69" ht="12.75">
      <c r="BM137" s="1">
        <f t="shared" si="26"/>
        <v>0</v>
      </c>
      <c r="BN137" s="1">
        <v>15</v>
      </c>
      <c r="BO137" s="1">
        <f t="shared" si="27"/>
        <v>0</v>
      </c>
      <c r="BP137" s="1">
        <f t="shared" si="25"/>
        <v>14</v>
      </c>
      <c r="BQ137" s="1">
        <v>132</v>
      </c>
    </row>
    <row r="138" spans="65:69" ht="12.75">
      <c r="BM138" s="1">
        <f t="shared" si="26"/>
        <v>0</v>
      </c>
      <c r="BN138" s="1">
        <v>15</v>
      </c>
      <c r="BO138" s="1">
        <f t="shared" si="27"/>
        <v>0</v>
      </c>
      <c r="BP138" s="1">
        <f t="shared" si="25"/>
        <v>14</v>
      </c>
      <c r="BQ138" s="1">
        <v>133</v>
      </c>
    </row>
    <row r="139" spans="65:69" ht="12.75">
      <c r="BM139" s="1">
        <f t="shared" si="26"/>
        <v>0</v>
      </c>
      <c r="BN139" s="1">
        <v>15</v>
      </c>
      <c r="BO139" s="1">
        <f t="shared" si="27"/>
        <v>0</v>
      </c>
      <c r="BP139" s="1">
        <f t="shared" si="25"/>
        <v>14</v>
      </c>
      <c r="BQ139" s="1">
        <v>134</v>
      </c>
    </row>
    <row r="140" spans="65:69" ht="12.75">
      <c r="BM140" s="1">
        <f t="shared" si="26"/>
        <v>0</v>
      </c>
      <c r="BN140" s="1">
        <v>16</v>
      </c>
      <c r="BO140" s="1">
        <f t="shared" si="27"/>
        <v>0</v>
      </c>
      <c r="BP140" s="1">
        <f t="shared" si="25"/>
        <v>14</v>
      </c>
      <c r="BQ140" s="1">
        <v>135</v>
      </c>
    </row>
    <row r="141" spans="65:69" ht="12.75">
      <c r="BM141" s="1">
        <f t="shared" si="26"/>
        <v>0</v>
      </c>
      <c r="BN141" s="1">
        <v>16</v>
      </c>
      <c r="BO141" s="1">
        <f t="shared" si="27"/>
        <v>0</v>
      </c>
      <c r="BP141" s="1">
        <f t="shared" si="25"/>
        <v>14</v>
      </c>
      <c r="BQ141" s="1">
        <v>136</v>
      </c>
    </row>
    <row r="142" spans="65:69" ht="12.75">
      <c r="BM142" s="1">
        <f t="shared" si="26"/>
        <v>0</v>
      </c>
      <c r="BN142" s="1">
        <v>16</v>
      </c>
      <c r="BO142" s="1">
        <f t="shared" si="27"/>
        <v>0</v>
      </c>
      <c r="BP142" s="1">
        <f t="shared" si="25"/>
        <v>14</v>
      </c>
      <c r="BQ142" s="1">
        <v>137</v>
      </c>
    </row>
    <row r="143" spans="65:69" ht="12.75">
      <c r="BM143" s="1">
        <f t="shared" si="26"/>
        <v>0</v>
      </c>
      <c r="BN143" s="1">
        <v>16</v>
      </c>
      <c r="BO143" s="1">
        <f t="shared" si="27"/>
        <v>0</v>
      </c>
      <c r="BP143" s="1">
        <f t="shared" si="25"/>
        <v>14</v>
      </c>
      <c r="BQ143" s="1">
        <v>138</v>
      </c>
    </row>
    <row r="144" spans="65:69" ht="12.75">
      <c r="BM144" s="1">
        <f t="shared" si="26"/>
        <v>0</v>
      </c>
      <c r="BN144" s="1">
        <v>16</v>
      </c>
      <c r="BO144" s="1">
        <f t="shared" si="27"/>
        <v>0</v>
      </c>
      <c r="BP144" s="1">
        <f aca="true" t="shared" si="28" ref="BP144:BP194">BP134+1</f>
        <v>14</v>
      </c>
      <c r="BQ144" s="1">
        <v>139</v>
      </c>
    </row>
    <row r="145" spans="65:69" ht="12.75">
      <c r="BM145" s="1">
        <f t="shared" si="26"/>
        <v>0</v>
      </c>
      <c r="BN145" s="1">
        <v>16</v>
      </c>
      <c r="BO145" s="1">
        <f t="shared" si="27"/>
        <v>0</v>
      </c>
      <c r="BP145" s="1">
        <f t="shared" si="28"/>
        <v>15</v>
      </c>
      <c r="BQ145" s="1">
        <v>140</v>
      </c>
    </row>
    <row r="146" spans="65:69" ht="12.75">
      <c r="BM146" s="1">
        <f t="shared" si="26"/>
        <v>0</v>
      </c>
      <c r="BN146" s="1">
        <v>16</v>
      </c>
      <c r="BO146" s="1">
        <f t="shared" si="27"/>
        <v>0</v>
      </c>
      <c r="BP146" s="1">
        <f t="shared" si="28"/>
        <v>15</v>
      </c>
      <c r="BQ146" s="1">
        <v>141</v>
      </c>
    </row>
    <row r="147" spans="65:69" ht="12.75">
      <c r="BM147" s="1">
        <f t="shared" si="26"/>
        <v>0</v>
      </c>
      <c r="BN147" s="1">
        <v>16</v>
      </c>
      <c r="BO147" s="1">
        <f t="shared" si="27"/>
        <v>0</v>
      </c>
      <c r="BP147" s="1">
        <f t="shared" si="28"/>
        <v>15</v>
      </c>
      <c r="BQ147" s="1">
        <v>142</v>
      </c>
    </row>
    <row r="148" spans="65:69" ht="12.75">
      <c r="BM148" s="1">
        <f t="shared" si="26"/>
        <v>0</v>
      </c>
      <c r="BN148" s="1">
        <v>16</v>
      </c>
      <c r="BO148" s="1">
        <f t="shared" si="27"/>
        <v>0</v>
      </c>
      <c r="BP148" s="1">
        <f t="shared" si="28"/>
        <v>15</v>
      </c>
      <c r="BQ148" s="1">
        <v>143</v>
      </c>
    </row>
    <row r="149" spans="65:69" ht="12.75">
      <c r="BM149" s="1">
        <f t="shared" si="26"/>
        <v>0</v>
      </c>
      <c r="BN149" s="1">
        <v>17</v>
      </c>
      <c r="BO149" s="1">
        <f t="shared" si="27"/>
        <v>0</v>
      </c>
      <c r="BP149" s="1">
        <f t="shared" si="28"/>
        <v>15</v>
      </c>
      <c r="BQ149" s="1">
        <v>144</v>
      </c>
    </row>
    <row r="150" spans="65:69" ht="12.75">
      <c r="BM150" s="1">
        <f t="shared" si="26"/>
        <v>0</v>
      </c>
      <c r="BN150" s="1">
        <v>17</v>
      </c>
      <c r="BO150" s="1">
        <f t="shared" si="27"/>
        <v>0</v>
      </c>
      <c r="BP150" s="1">
        <f t="shared" si="28"/>
        <v>15</v>
      </c>
      <c r="BQ150" s="1">
        <v>145</v>
      </c>
    </row>
    <row r="151" spans="65:69" ht="12.75">
      <c r="BM151" s="1">
        <f t="shared" si="26"/>
        <v>0</v>
      </c>
      <c r="BN151" s="1">
        <v>17</v>
      </c>
      <c r="BO151" s="1">
        <f t="shared" si="27"/>
        <v>0</v>
      </c>
      <c r="BP151" s="1">
        <f t="shared" si="28"/>
        <v>15</v>
      </c>
      <c r="BQ151" s="1">
        <v>146</v>
      </c>
    </row>
    <row r="152" spans="65:69" ht="12.75">
      <c r="BM152" s="1">
        <f t="shared" si="26"/>
        <v>0</v>
      </c>
      <c r="BN152" s="1">
        <v>17</v>
      </c>
      <c r="BO152" s="1">
        <f t="shared" si="27"/>
        <v>0</v>
      </c>
      <c r="BP152" s="1">
        <f t="shared" si="28"/>
        <v>15</v>
      </c>
      <c r="BQ152" s="1">
        <v>147</v>
      </c>
    </row>
    <row r="153" spans="65:69" ht="12.75">
      <c r="BM153" s="1">
        <f t="shared" si="26"/>
        <v>0</v>
      </c>
      <c r="BN153" s="1">
        <v>17</v>
      </c>
      <c r="BO153" s="1">
        <f t="shared" si="27"/>
        <v>0</v>
      </c>
      <c r="BP153" s="1">
        <f t="shared" si="28"/>
        <v>15</v>
      </c>
      <c r="BQ153" s="1">
        <v>148</v>
      </c>
    </row>
    <row r="154" spans="65:69" ht="12.75">
      <c r="BM154" s="1">
        <f t="shared" si="26"/>
        <v>0</v>
      </c>
      <c r="BN154" s="1">
        <v>17</v>
      </c>
      <c r="BO154" s="1">
        <f t="shared" si="27"/>
        <v>0</v>
      </c>
      <c r="BP154" s="1">
        <f t="shared" si="28"/>
        <v>15</v>
      </c>
      <c r="BQ154" s="1">
        <v>149</v>
      </c>
    </row>
    <row r="155" spans="65:69" ht="12.75">
      <c r="BM155" s="1">
        <f t="shared" si="26"/>
        <v>0</v>
      </c>
      <c r="BN155" s="1">
        <v>17</v>
      </c>
      <c r="BO155" s="1">
        <f t="shared" si="27"/>
        <v>0</v>
      </c>
      <c r="BP155" s="1">
        <f t="shared" si="28"/>
        <v>16</v>
      </c>
      <c r="BQ155" s="1">
        <v>150</v>
      </c>
    </row>
    <row r="156" spans="65:69" ht="12.75">
      <c r="BM156" s="1">
        <f t="shared" si="26"/>
        <v>0</v>
      </c>
      <c r="BN156" s="1">
        <v>17</v>
      </c>
      <c r="BO156" s="1">
        <f t="shared" si="27"/>
        <v>0</v>
      </c>
      <c r="BP156" s="1">
        <f t="shared" si="28"/>
        <v>16</v>
      </c>
      <c r="BQ156" s="1">
        <v>151</v>
      </c>
    </row>
    <row r="157" spans="65:69" ht="12.75">
      <c r="BM157" s="1">
        <f t="shared" si="26"/>
        <v>0</v>
      </c>
      <c r="BN157" s="1">
        <v>17</v>
      </c>
      <c r="BO157" s="1">
        <f t="shared" si="27"/>
        <v>0</v>
      </c>
      <c r="BP157" s="1">
        <f t="shared" si="28"/>
        <v>16</v>
      </c>
      <c r="BQ157" s="1">
        <v>152</v>
      </c>
    </row>
    <row r="158" spans="65:69" ht="12.75">
      <c r="BM158" s="1">
        <f t="shared" si="26"/>
        <v>0</v>
      </c>
      <c r="BN158" s="1">
        <v>18</v>
      </c>
      <c r="BO158" s="1">
        <f t="shared" si="27"/>
        <v>0</v>
      </c>
      <c r="BP158" s="1">
        <f t="shared" si="28"/>
        <v>16</v>
      </c>
      <c r="BQ158" s="1">
        <v>153</v>
      </c>
    </row>
    <row r="159" spans="65:69" ht="12.75">
      <c r="BM159" s="1">
        <f t="shared" si="26"/>
        <v>0</v>
      </c>
      <c r="BN159" s="1">
        <v>18</v>
      </c>
      <c r="BO159" s="1">
        <f t="shared" si="27"/>
        <v>0</v>
      </c>
      <c r="BP159" s="1">
        <f t="shared" si="28"/>
        <v>16</v>
      </c>
      <c r="BQ159" s="1">
        <f>BQ158+1</f>
        <v>154</v>
      </c>
    </row>
    <row r="160" spans="65:69" ht="12.75">
      <c r="BM160" s="1">
        <f t="shared" si="26"/>
        <v>0</v>
      </c>
      <c r="BN160" s="1">
        <v>18</v>
      </c>
      <c r="BO160" s="1">
        <f t="shared" si="27"/>
        <v>0</v>
      </c>
      <c r="BP160" s="1">
        <f t="shared" si="28"/>
        <v>16</v>
      </c>
      <c r="BQ160" s="1">
        <v>155</v>
      </c>
    </row>
    <row r="161" spans="65:69" ht="12.75">
      <c r="BM161" s="1">
        <f t="shared" si="26"/>
        <v>0</v>
      </c>
      <c r="BN161" s="1">
        <v>18</v>
      </c>
      <c r="BO161" s="1">
        <f t="shared" si="27"/>
        <v>0</v>
      </c>
      <c r="BP161" s="1">
        <f t="shared" si="28"/>
        <v>16</v>
      </c>
      <c r="BQ161" s="1">
        <v>156</v>
      </c>
    </row>
    <row r="162" spans="65:69" ht="12.75">
      <c r="BM162" s="1">
        <f t="shared" si="26"/>
        <v>0</v>
      </c>
      <c r="BN162" s="1">
        <v>18</v>
      </c>
      <c r="BO162" s="1">
        <f t="shared" si="27"/>
        <v>0</v>
      </c>
      <c r="BP162" s="1">
        <f t="shared" si="28"/>
        <v>16</v>
      </c>
      <c r="BQ162" s="1">
        <v>157</v>
      </c>
    </row>
    <row r="163" spans="65:69" ht="12.75">
      <c r="BM163" s="1">
        <f t="shared" si="26"/>
        <v>0</v>
      </c>
      <c r="BN163" s="1">
        <v>18</v>
      </c>
      <c r="BO163" s="1">
        <f t="shared" si="27"/>
        <v>0</v>
      </c>
      <c r="BP163" s="1">
        <f t="shared" si="28"/>
        <v>16</v>
      </c>
      <c r="BQ163" s="1">
        <v>158</v>
      </c>
    </row>
    <row r="164" spans="65:69" ht="12.75">
      <c r="BM164" s="1">
        <f t="shared" si="26"/>
        <v>0</v>
      </c>
      <c r="BN164" s="1">
        <v>18</v>
      </c>
      <c r="BO164" s="1">
        <f t="shared" si="27"/>
        <v>0</v>
      </c>
      <c r="BP164" s="1">
        <f t="shared" si="28"/>
        <v>16</v>
      </c>
      <c r="BQ164" s="1">
        <v>159</v>
      </c>
    </row>
    <row r="165" spans="65:69" ht="12.75">
      <c r="BM165" s="1">
        <f t="shared" si="26"/>
        <v>0</v>
      </c>
      <c r="BN165" s="1">
        <v>18</v>
      </c>
      <c r="BO165" s="1">
        <f t="shared" si="27"/>
        <v>0</v>
      </c>
      <c r="BP165" s="1">
        <f t="shared" si="28"/>
        <v>17</v>
      </c>
      <c r="BQ165" s="1">
        <v>160</v>
      </c>
    </row>
    <row r="166" spans="65:69" ht="12.75">
      <c r="BM166" s="1">
        <f t="shared" si="26"/>
        <v>0</v>
      </c>
      <c r="BN166" s="1">
        <v>18</v>
      </c>
      <c r="BO166" s="1">
        <f t="shared" si="27"/>
        <v>0</v>
      </c>
      <c r="BP166" s="1">
        <f t="shared" si="28"/>
        <v>17</v>
      </c>
      <c r="BQ166" s="1">
        <v>161</v>
      </c>
    </row>
    <row r="167" spans="65:69" ht="12.75">
      <c r="BM167" s="1">
        <f t="shared" si="26"/>
        <v>0</v>
      </c>
      <c r="BN167" s="1">
        <v>19</v>
      </c>
      <c r="BO167" s="1">
        <f t="shared" si="27"/>
        <v>0</v>
      </c>
      <c r="BP167" s="1">
        <f t="shared" si="28"/>
        <v>17</v>
      </c>
      <c r="BQ167" s="1">
        <v>162</v>
      </c>
    </row>
    <row r="168" spans="65:69" ht="12.75">
      <c r="BM168" s="1">
        <f t="shared" si="26"/>
        <v>0</v>
      </c>
      <c r="BN168" s="1">
        <v>19</v>
      </c>
      <c r="BO168" s="1">
        <f t="shared" si="27"/>
        <v>0</v>
      </c>
      <c r="BP168" s="1">
        <f t="shared" si="28"/>
        <v>17</v>
      </c>
      <c r="BQ168" s="1">
        <v>163</v>
      </c>
    </row>
    <row r="169" spans="65:69" ht="12.75">
      <c r="BM169" s="1">
        <f t="shared" si="26"/>
        <v>0</v>
      </c>
      <c r="BN169" s="1">
        <v>19</v>
      </c>
      <c r="BO169" s="1">
        <f t="shared" si="27"/>
        <v>0</v>
      </c>
      <c r="BP169" s="1">
        <f t="shared" si="28"/>
        <v>17</v>
      </c>
      <c r="BQ169" s="1">
        <v>164</v>
      </c>
    </row>
    <row r="170" spans="65:69" ht="12.75">
      <c r="BM170" s="1">
        <f t="shared" si="26"/>
        <v>0</v>
      </c>
      <c r="BN170" s="1">
        <v>19</v>
      </c>
      <c r="BO170" s="1">
        <f t="shared" si="27"/>
        <v>0</v>
      </c>
      <c r="BP170" s="1">
        <f t="shared" si="28"/>
        <v>17</v>
      </c>
      <c r="BQ170" s="1">
        <v>165</v>
      </c>
    </row>
    <row r="171" spans="65:69" ht="12.75">
      <c r="BM171" s="1">
        <f t="shared" si="26"/>
        <v>0</v>
      </c>
      <c r="BN171" s="1">
        <v>19</v>
      </c>
      <c r="BO171" s="1">
        <f t="shared" si="27"/>
        <v>0</v>
      </c>
      <c r="BP171" s="1">
        <f t="shared" si="28"/>
        <v>17</v>
      </c>
      <c r="BQ171" s="1">
        <v>166</v>
      </c>
    </row>
    <row r="172" spans="65:69" ht="12.75">
      <c r="BM172" s="1">
        <f t="shared" si="26"/>
        <v>0</v>
      </c>
      <c r="BN172" s="1">
        <v>19</v>
      </c>
      <c r="BO172" s="1">
        <f t="shared" si="27"/>
        <v>0</v>
      </c>
      <c r="BP172" s="1">
        <f t="shared" si="28"/>
        <v>17</v>
      </c>
      <c r="BQ172" s="1">
        <v>167</v>
      </c>
    </row>
    <row r="173" spans="65:69" ht="12.75">
      <c r="BM173" s="1">
        <f t="shared" si="26"/>
        <v>0</v>
      </c>
      <c r="BN173" s="1">
        <v>19</v>
      </c>
      <c r="BO173" s="1">
        <f t="shared" si="27"/>
        <v>0</v>
      </c>
      <c r="BP173" s="1">
        <f t="shared" si="28"/>
        <v>17</v>
      </c>
      <c r="BQ173" s="1">
        <v>168</v>
      </c>
    </row>
    <row r="174" spans="65:69" ht="12.75">
      <c r="BM174" s="1">
        <f t="shared" si="26"/>
        <v>0</v>
      </c>
      <c r="BN174" s="1">
        <v>19</v>
      </c>
      <c r="BO174" s="1">
        <f t="shared" si="27"/>
        <v>0</v>
      </c>
      <c r="BP174" s="1">
        <f t="shared" si="28"/>
        <v>17</v>
      </c>
      <c r="BQ174" s="1">
        <v>169</v>
      </c>
    </row>
    <row r="175" spans="65:69" ht="12.75">
      <c r="BM175" s="1">
        <f t="shared" si="26"/>
        <v>0</v>
      </c>
      <c r="BN175" s="1">
        <v>19</v>
      </c>
      <c r="BO175" s="1">
        <f t="shared" si="27"/>
        <v>0</v>
      </c>
      <c r="BP175" s="1">
        <f t="shared" si="28"/>
        <v>18</v>
      </c>
      <c r="BQ175" s="1">
        <v>170</v>
      </c>
    </row>
    <row r="176" spans="65:69" ht="12.75">
      <c r="BM176" s="1">
        <f t="shared" si="26"/>
        <v>0</v>
      </c>
      <c r="BN176" s="1">
        <v>19</v>
      </c>
      <c r="BO176" s="1">
        <f t="shared" si="27"/>
        <v>0</v>
      </c>
      <c r="BP176" s="1">
        <f t="shared" si="28"/>
        <v>18</v>
      </c>
      <c r="BQ176" s="1">
        <v>171</v>
      </c>
    </row>
    <row r="177" spans="67:69" ht="12.75">
      <c r="BO177" s="1">
        <f t="shared" si="27"/>
        <v>0</v>
      </c>
      <c r="BP177" s="1">
        <f t="shared" si="28"/>
        <v>18</v>
      </c>
      <c r="BQ177" s="1">
        <v>172</v>
      </c>
    </row>
    <row r="178" spans="67:69" ht="12.75">
      <c r="BO178" s="1">
        <f t="shared" si="27"/>
        <v>0</v>
      </c>
      <c r="BP178" s="1">
        <f t="shared" si="28"/>
        <v>18</v>
      </c>
      <c r="BQ178" s="1">
        <v>173</v>
      </c>
    </row>
    <row r="179" spans="67:69" ht="12.75">
      <c r="BO179" s="1">
        <f t="shared" si="27"/>
        <v>0</v>
      </c>
      <c r="BP179" s="1">
        <f t="shared" si="28"/>
        <v>18</v>
      </c>
      <c r="BQ179" s="1">
        <v>174</v>
      </c>
    </row>
    <row r="180" spans="67:69" ht="12.75">
      <c r="BO180" s="1">
        <f t="shared" si="27"/>
        <v>0</v>
      </c>
      <c r="BP180" s="1">
        <f t="shared" si="28"/>
        <v>18</v>
      </c>
      <c r="BQ180" s="1">
        <v>175</v>
      </c>
    </row>
    <row r="181" spans="67:69" ht="12.75">
      <c r="BO181" s="1">
        <f t="shared" si="27"/>
        <v>0</v>
      </c>
      <c r="BP181" s="1">
        <f t="shared" si="28"/>
        <v>18</v>
      </c>
      <c r="BQ181" s="1">
        <v>176</v>
      </c>
    </row>
    <row r="182" spans="67:69" ht="12.75">
      <c r="BO182" s="1">
        <f t="shared" si="27"/>
        <v>0</v>
      </c>
      <c r="BP182" s="1">
        <f t="shared" si="28"/>
        <v>18</v>
      </c>
      <c r="BQ182" s="1">
        <v>177</v>
      </c>
    </row>
    <row r="183" spans="67:69" ht="12.75">
      <c r="BO183" s="1">
        <f t="shared" si="27"/>
        <v>0</v>
      </c>
      <c r="BP183" s="1">
        <f t="shared" si="28"/>
        <v>18</v>
      </c>
      <c r="BQ183" s="1">
        <v>178</v>
      </c>
    </row>
    <row r="184" spans="67:69" ht="12.75">
      <c r="BO184" s="1">
        <f t="shared" si="27"/>
        <v>0</v>
      </c>
      <c r="BP184" s="1">
        <f t="shared" si="28"/>
        <v>18</v>
      </c>
      <c r="BQ184" s="1">
        <v>179</v>
      </c>
    </row>
    <row r="185" spans="67:69" ht="12.75">
      <c r="BO185" s="1">
        <f t="shared" si="27"/>
        <v>0</v>
      </c>
      <c r="BP185" s="1">
        <f t="shared" si="28"/>
        <v>19</v>
      </c>
      <c r="BQ185" s="1">
        <v>180</v>
      </c>
    </row>
    <row r="186" spans="67:69" ht="12.75">
      <c r="BO186" s="1">
        <f t="shared" si="27"/>
        <v>0</v>
      </c>
      <c r="BP186" s="1">
        <f t="shared" si="28"/>
        <v>19</v>
      </c>
      <c r="BQ186" s="1">
        <v>181</v>
      </c>
    </row>
    <row r="187" spans="67:69" ht="12.75">
      <c r="BO187" s="1">
        <f t="shared" si="27"/>
        <v>0</v>
      </c>
      <c r="BP187" s="1">
        <f t="shared" si="28"/>
        <v>19</v>
      </c>
      <c r="BQ187" s="1">
        <v>182</v>
      </c>
    </row>
    <row r="188" spans="67:69" ht="12.75">
      <c r="BO188" s="1">
        <f t="shared" si="27"/>
        <v>0</v>
      </c>
      <c r="BP188" s="1">
        <f t="shared" si="28"/>
        <v>19</v>
      </c>
      <c r="BQ188" s="1">
        <v>183</v>
      </c>
    </row>
    <row r="189" spans="67:69" ht="12.75">
      <c r="BO189" s="1">
        <f t="shared" si="27"/>
        <v>0</v>
      </c>
      <c r="BP189" s="1">
        <f t="shared" si="28"/>
        <v>19</v>
      </c>
      <c r="BQ189" s="1">
        <v>184</v>
      </c>
    </row>
    <row r="190" spans="67:69" ht="12.75">
      <c r="BO190" s="1">
        <f t="shared" si="27"/>
        <v>0</v>
      </c>
      <c r="BP190" s="1">
        <f t="shared" si="28"/>
        <v>19</v>
      </c>
      <c r="BQ190" s="1">
        <v>185</v>
      </c>
    </row>
    <row r="191" spans="67:69" ht="12.75">
      <c r="BO191" s="1">
        <f t="shared" si="27"/>
        <v>0</v>
      </c>
      <c r="BP191" s="1">
        <f t="shared" si="28"/>
        <v>19</v>
      </c>
      <c r="BQ191" s="1">
        <v>186</v>
      </c>
    </row>
    <row r="192" spans="67:69" ht="12.75">
      <c r="BO192" s="1">
        <f t="shared" si="27"/>
        <v>0</v>
      </c>
      <c r="BP192" s="1">
        <f t="shared" si="28"/>
        <v>19</v>
      </c>
      <c r="BQ192" s="1">
        <v>187</v>
      </c>
    </row>
    <row r="193" spans="67:69" ht="12.75">
      <c r="BO193" s="1">
        <f t="shared" si="27"/>
        <v>0</v>
      </c>
      <c r="BP193" s="1">
        <f t="shared" si="28"/>
        <v>19</v>
      </c>
      <c r="BQ193" s="1">
        <v>188</v>
      </c>
    </row>
    <row r="194" spans="67:69" ht="12.75">
      <c r="BO194" s="1">
        <f t="shared" si="27"/>
        <v>0</v>
      </c>
      <c r="BP194" s="1">
        <f t="shared" si="28"/>
        <v>19</v>
      </c>
      <c r="BQ194" s="1">
        <v>189</v>
      </c>
    </row>
    <row r="195" spans="67:69" ht="12.75">
      <c r="BO195" s="1">
        <f t="shared" si="27"/>
        <v>0</v>
      </c>
      <c r="BP195" s="1">
        <v>19</v>
      </c>
      <c r="BQ195" s="1">
        <v>190</v>
      </c>
    </row>
    <row r="196" spans="65:69" ht="12.75">
      <c r="BM196" s="1">
        <f>SUM(BM5:BM176)</f>
        <v>0</v>
      </c>
      <c r="BO196" s="1">
        <f>SUM(BO5:BO195)</f>
        <v>1</v>
      </c>
      <c r="BQ196" s="1">
        <f>IF(COUNTA($G$1)=1,$G$1,BM196+BO196)</f>
        <v>1</v>
      </c>
    </row>
  </sheetData>
  <mergeCells count="23">
    <mergeCell ref="AH6:AK6"/>
    <mergeCell ref="AL6:AO6"/>
    <mergeCell ref="R6:U6"/>
    <mergeCell ref="V6:Y6"/>
    <mergeCell ref="Z6:AC6"/>
    <mergeCell ref="AD6:AG6"/>
    <mergeCell ref="B6:E6"/>
    <mergeCell ref="F6:I6"/>
    <mergeCell ref="J6:M6"/>
    <mergeCell ref="N6:Q6"/>
    <mergeCell ref="Z4:AC4"/>
    <mergeCell ref="AD4:AG4"/>
    <mergeCell ref="AH4:AK4"/>
    <mergeCell ref="AL4:AO4"/>
    <mergeCell ref="B8:AO8"/>
    <mergeCell ref="B1:C1"/>
    <mergeCell ref="D1:E1"/>
    <mergeCell ref="F4:I4"/>
    <mergeCell ref="B4:E4"/>
    <mergeCell ref="J4:M4"/>
    <mergeCell ref="N4:Q4"/>
    <mergeCell ref="R4:U4"/>
    <mergeCell ref="V4:Y4"/>
  </mergeCells>
  <conditionalFormatting sqref="D1:E1">
    <cfRule type="expression" priority="1" dxfId="0" stopIfTrue="1">
      <formula>$G1&gt;0</formula>
    </cfRule>
  </conditionalFormatting>
  <conditionalFormatting sqref="F1">
    <cfRule type="expression" priority="2" dxfId="1" stopIfTrue="1">
      <formula>$G1&gt;0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2:CE206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57421875" style="1" customWidth="1"/>
    <col min="3" max="3" width="22.00390625" style="0" customWidth="1"/>
    <col min="4" max="23" width="5.421875" style="0" customWidth="1"/>
    <col min="27" max="27" width="2.7109375" style="0" customWidth="1"/>
    <col min="31" max="31" width="11.421875" style="0" hidden="1" customWidth="1"/>
    <col min="32" max="32" width="5.57421875" style="1" hidden="1" customWidth="1"/>
    <col min="33" max="33" width="22.00390625" style="0" hidden="1" customWidth="1"/>
    <col min="34" max="53" width="5.421875" style="0" hidden="1" customWidth="1"/>
    <col min="54" max="58" width="11.421875" style="0" hidden="1" customWidth="1"/>
  </cols>
  <sheetData>
    <row r="1" ht="18" customHeight="1"/>
    <row r="2" spans="2:56" ht="24.75" customHeight="1">
      <c r="B2" s="78" t="str">
        <f>Eingabe!$G$3</f>
        <v>z. B. Monatsblitzturnier</v>
      </c>
      <c r="C2" s="12"/>
      <c r="D2" s="17"/>
      <c r="E2" s="17"/>
      <c r="F2" s="12"/>
      <c r="G2" s="32"/>
      <c r="H2" s="17"/>
      <c r="I2" s="17"/>
      <c r="J2" s="17"/>
      <c r="K2" s="17"/>
      <c r="L2" s="17"/>
      <c r="M2" s="17"/>
      <c r="N2" s="17"/>
      <c r="O2" s="17"/>
      <c r="P2" s="12"/>
      <c r="Q2" s="12"/>
      <c r="R2" s="12"/>
      <c r="S2" s="12"/>
      <c r="T2" s="12"/>
      <c r="U2" s="12"/>
      <c r="V2" s="12"/>
      <c r="W2" s="12"/>
      <c r="Y2" s="33" t="s">
        <v>22</v>
      </c>
      <c r="Z2" s="34" t="str">
        <f>Eingabe!G2</f>
        <v>??.??.????</v>
      </c>
      <c r="AF2" s="78"/>
      <c r="AG2" s="12"/>
      <c r="AH2" s="17"/>
      <c r="AI2" s="17"/>
      <c r="AJ2" s="12"/>
      <c r="AK2" s="32"/>
      <c r="AL2" s="17"/>
      <c r="AM2" s="17"/>
      <c r="AN2" s="17"/>
      <c r="AO2" s="17"/>
      <c r="AP2" s="17"/>
      <c r="AQ2" s="17"/>
      <c r="AR2" s="17"/>
      <c r="AS2" s="17"/>
      <c r="AT2" s="12"/>
      <c r="AU2" s="12"/>
      <c r="AV2" s="12"/>
      <c r="AW2" s="12"/>
      <c r="AX2" s="12"/>
      <c r="AY2" s="12"/>
      <c r="AZ2" s="12"/>
      <c r="BA2" s="12"/>
      <c r="BC2" s="33"/>
      <c r="BD2" s="34"/>
    </row>
    <row r="3" spans="2:56" s="19" customFormat="1" ht="18.75" thickBot="1">
      <c r="B3" s="2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F3" s="20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83" s="8" customFormat="1" ht="24.75" customHeight="1">
      <c r="A4" s="6"/>
      <c r="B4" s="21" t="s">
        <v>44</v>
      </c>
      <c r="C4" s="22" t="s">
        <v>45</v>
      </c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>
        <v>8</v>
      </c>
      <c r="L4" s="24">
        <v>9</v>
      </c>
      <c r="M4" s="24">
        <v>10</v>
      </c>
      <c r="N4" s="24">
        <v>11</v>
      </c>
      <c r="O4" s="24">
        <v>12</v>
      </c>
      <c r="P4" s="24">
        <v>13</v>
      </c>
      <c r="Q4" s="24">
        <v>14</v>
      </c>
      <c r="R4" s="24">
        <v>15</v>
      </c>
      <c r="S4" s="24">
        <v>16</v>
      </c>
      <c r="T4" s="24">
        <v>17</v>
      </c>
      <c r="U4" s="24">
        <v>18</v>
      </c>
      <c r="V4" s="24">
        <v>19</v>
      </c>
      <c r="W4" s="28">
        <v>20</v>
      </c>
      <c r="X4" s="21" t="s">
        <v>46</v>
      </c>
      <c r="Y4" s="52" t="s">
        <v>47</v>
      </c>
      <c r="Z4" s="23" t="s">
        <v>48</v>
      </c>
      <c r="AA4" s="9"/>
      <c r="AB4" s="9"/>
      <c r="AC4" s="9"/>
      <c r="AD4" s="9"/>
      <c r="AE4" s="9"/>
      <c r="AF4" s="21" t="s">
        <v>44</v>
      </c>
      <c r="AG4" s="22" t="s">
        <v>45</v>
      </c>
      <c r="AH4" s="24">
        <v>1</v>
      </c>
      <c r="AI4" s="24">
        <v>2</v>
      </c>
      <c r="AJ4" s="24">
        <v>3</v>
      </c>
      <c r="AK4" s="24">
        <v>4</v>
      </c>
      <c r="AL4" s="24">
        <v>5</v>
      </c>
      <c r="AM4" s="24">
        <v>6</v>
      </c>
      <c r="AN4" s="24">
        <v>7</v>
      </c>
      <c r="AO4" s="24">
        <v>8</v>
      </c>
      <c r="AP4" s="24">
        <v>9</v>
      </c>
      <c r="AQ4" s="24">
        <v>10</v>
      </c>
      <c r="AR4" s="24">
        <v>11</v>
      </c>
      <c r="AS4" s="24">
        <v>12</v>
      </c>
      <c r="AT4" s="24">
        <v>13</v>
      </c>
      <c r="AU4" s="24">
        <v>14</v>
      </c>
      <c r="AV4" s="24">
        <v>15</v>
      </c>
      <c r="AW4" s="24">
        <v>16</v>
      </c>
      <c r="AX4" s="24">
        <v>17</v>
      </c>
      <c r="AY4" s="24">
        <v>18</v>
      </c>
      <c r="AZ4" s="24">
        <v>19</v>
      </c>
      <c r="BA4" s="28">
        <v>20</v>
      </c>
      <c r="BB4" s="21" t="s">
        <v>46</v>
      </c>
      <c r="BC4" s="52" t="s">
        <v>47</v>
      </c>
      <c r="BD4" s="23" t="s">
        <v>48</v>
      </c>
      <c r="BE4" s="9"/>
      <c r="BF4" s="124" t="s">
        <v>59</v>
      </c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2:83" ht="24.75" customHeight="1">
      <c r="B5" s="10">
        <v>1</v>
      </c>
      <c r="C5" s="26" t="str">
        <f aca="true" t="shared" si="0" ref="C5:C24">AG31</f>
        <v>Spieler 1</v>
      </c>
      <c r="D5" s="66" t="str">
        <f aca="true" t="shared" si="1" ref="D5:D24">AH55</f>
        <v> </v>
      </c>
      <c r="E5" s="56" t="str">
        <f aca="true" t="shared" si="2" ref="E5:E24">AI55</f>
        <v> </v>
      </c>
      <c r="F5" s="56" t="str">
        <f aca="true" t="shared" si="3" ref="F5:F24">AJ55</f>
        <v> </v>
      </c>
      <c r="G5" s="56" t="str">
        <f aca="true" t="shared" si="4" ref="G5:G24">AK55</f>
        <v> </v>
      </c>
      <c r="H5" s="56" t="str">
        <f aca="true" t="shared" si="5" ref="H5:H24">AL55</f>
        <v> </v>
      </c>
      <c r="I5" s="56" t="str">
        <f aca="true" t="shared" si="6" ref="I5:I24">AM55</f>
        <v> </v>
      </c>
      <c r="J5" s="56" t="str">
        <f aca="true" t="shared" si="7" ref="J5:J24">AN55</f>
        <v> </v>
      </c>
      <c r="K5" s="56" t="str">
        <f aca="true" t="shared" si="8" ref="K5:K24">AO55</f>
        <v> </v>
      </c>
      <c r="L5" s="56" t="str">
        <f aca="true" t="shared" si="9" ref="L5:L24">AP55</f>
        <v> </v>
      </c>
      <c r="M5" s="56" t="str">
        <f aca="true" t="shared" si="10" ref="M5:M24">AQ55</f>
        <v> </v>
      </c>
      <c r="N5" s="56" t="str">
        <f aca="true" t="shared" si="11" ref="N5:N24">AR55</f>
        <v> </v>
      </c>
      <c r="O5" s="56" t="str">
        <f aca="true" t="shared" si="12" ref="O5:O24">AS55</f>
        <v> </v>
      </c>
      <c r="P5" s="56" t="str">
        <f aca="true" t="shared" si="13" ref="P5:P24">AT55</f>
        <v> </v>
      </c>
      <c r="Q5" s="56" t="str">
        <f aca="true" t="shared" si="14" ref="Q5:Q24">AU55</f>
        <v> </v>
      </c>
      <c r="R5" s="56" t="str">
        <f aca="true" t="shared" si="15" ref="R5:R24">AV55</f>
        <v> </v>
      </c>
      <c r="S5" s="56" t="str">
        <f aca="true" t="shared" si="16" ref="S5:S24">AW55</f>
        <v> </v>
      </c>
      <c r="T5" s="56" t="str">
        <f aca="true" t="shared" si="17" ref="T5:T24">AX55</f>
        <v> </v>
      </c>
      <c r="U5" s="56" t="str">
        <f aca="true" t="shared" si="18" ref="U5:U24">AY55</f>
        <v> </v>
      </c>
      <c r="V5" s="56" t="str">
        <f aca="true" t="shared" si="19" ref="V5:V24">AZ55</f>
        <v> </v>
      </c>
      <c r="W5" s="30" t="str">
        <f aca="true" t="shared" si="20" ref="W5:W24">BA55</f>
        <v> </v>
      </c>
      <c r="X5" s="73" t="str">
        <f aca="true" t="shared" si="21" ref="X5:X24">BB31</f>
        <v> </v>
      </c>
      <c r="Y5" s="71">
        <f aca="true" t="shared" si="22" ref="Y5:Y24">BC31</f>
      </c>
      <c r="Z5" s="60" t="str">
        <f aca="true" t="shared" si="23" ref="Z5:Z24">BD31</f>
        <v> </v>
      </c>
      <c r="AA5" s="2"/>
      <c r="AB5" s="2"/>
      <c r="AC5" s="2"/>
      <c r="AD5" s="2"/>
      <c r="AE5" s="2">
        <f>RANK(BF5,$BF$5:$BF$24,0)</f>
        <v>1</v>
      </c>
      <c r="AF5" s="10">
        <v>1</v>
      </c>
      <c r="AG5" s="26" t="str">
        <f>Eingabe!$C$6</f>
        <v>Spieler 1</v>
      </c>
      <c r="AH5" s="66" t="s">
        <v>28</v>
      </c>
      <c r="AI5" s="56" t="str">
        <f>'20 Spieler'!$AO$35</f>
        <v> </v>
      </c>
      <c r="AJ5" s="56" t="str">
        <f>'20 Spieler'!$AE$55</f>
        <v> </v>
      </c>
      <c r="AK5" s="56" t="str">
        <f>'20 Spieler'!$AG$34</f>
        <v> </v>
      </c>
      <c r="AL5" s="56" t="str">
        <f>'20 Spieler'!$W$56</f>
        <v> </v>
      </c>
      <c r="AM5" s="56" t="str">
        <f>'20 Spieler'!$Y$33</f>
        <v> </v>
      </c>
      <c r="AN5" s="56" t="str">
        <f>'20 Spieler'!$O$57</f>
        <v> </v>
      </c>
      <c r="AO5" s="56" t="str">
        <f>'20 Spieler'!$Q$32</f>
        <v> </v>
      </c>
      <c r="AP5" s="56" t="str">
        <f>'20 Spieler'!$G$58</f>
        <v> </v>
      </c>
      <c r="AQ5" s="56" t="str">
        <f>'20 Spieler'!$I$31</f>
        <v> </v>
      </c>
      <c r="AR5" s="56" t="str">
        <f>'20 Spieler'!$AM$45</f>
        <v> </v>
      </c>
      <c r="AS5" s="56" t="str">
        <f>'20 Spieler'!$AO$16</f>
        <v> </v>
      </c>
      <c r="AT5" s="56" t="str">
        <f>'20 Spieler'!$AE$46</f>
        <v> </v>
      </c>
      <c r="AU5" s="56" t="str">
        <f>'20 Spieler'!$AG$15</f>
        <v> </v>
      </c>
      <c r="AV5" s="56" t="str">
        <f>'20 Spieler'!$W$47</f>
        <v> </v>
      </c>
      <c r="AW5" s="56" t="str">
        <f>'20 Spieler'!$Y$14</f>
        <v> </v>
      </c>
      <c r="AX5" s="56" t="str">
        <f>'20 Spieler'!$O$48</f>
        <v> </v>
      </c>
      <c r="AY5" s="56" t="str">
        <f>'20 Spieler'!$Q$13</f>
        <v> </v>
      </c>
      <c r="AZ5" s="56" t="str">
        <f>'20 Spieler'!$G$49</f>
        <v> </v>
      </c>
      <c r="BA5" s="30" t="str">
        <f>'20 Spieler'!$G$12</f>
        <v> </v>
      </c>
      <c r="BB5" s="73" t="str">
        <f aca="true" t="shared" si="24" ref="BB5:BB24">IF(COUNT($D$50,$E$49,$F$48,$G$47,$H$46,$I$45,$J$44,$K$43,$L$42,$M$41,$N$40,$O$39,$P$38,$Q$37,$R$36,$S$35,$T$34,$U$33,$V$32,$W$31)&gt;0,SUM(AH5:BA5)," ")</f>
        <v> </v>
      </c>
      <c r="BC5" s="71">
        <f aca="true" t="shared" si="25" ref="BC5:BC24">IF(COUNT($D$50,$E$49,$F$48,$G$47,$H$46,$I$45,$J$44,$K$43,$L$42,$M$41,$N$40,$O$39,$P$38,$Q$37,$R$36,$S$35,$T$34,$U$33,$V$32,$W$31)&gt;0,IF(OR(AH5=1,AH5=0.5),AH5*$X$31,0)+IF(OR(AI5=1,AI5=0.5),AI5*$X$32,0)+IF(OR(AJ5=1,AJ5=0.5),AJ5*$X$33,0)+IF(OR(AK5=1,AK5=0.5),AK5*$X$34,0)+IF(OR(AL5=1,AL5=0.5),AL5*$X$35,0)+IF(OR(AM5=1,AM5=0.5),AM5*$X$36,0)+IF(OR(AN5=1,AN5=0.5),AN5*$X$37,0)+IF(OR(AO5=1,AO5=0.5),AO5*$X$38,0)+IF(OR(AP5=1,AP5=0.5),AP5*$X$39,0)+IF(OR(AQ5=1,AQ5=0.5),AQ5*$X$40,0)+IF(OR(AR5=1,AR5=0.5),AR5*$X$41,0)+IF(OR(AS5=1,AS5=0.5),AS5*$X$42,0)+IF(OR(AT5=1,AT5=0.5),AT5*$X$43,0)+IF(OR(AU5=1,AU5=0.5),AU5*$X$44,0)+IF(OR(AV5=1,AV5=0.5),AV5*$X$45,0)+IF(OR(AW5=1,AW5=0.5),AW5*$X$46,0)+IF(OR(AX5=1,AX5=0.5),AX5*$X$47,0)+IF(OR(AY5=1,AY5=0.5),AY5*$X$48,0)+IF(OR(AZ5=1,AZ5=0.5),AZ5*$X$49,0)+IF(OR(BA5=1,BA5=0.5),BA5*$X$50,0),"")</f>
      </c>
      <c r="BD5" s="60" t="str">
        <f>IF('Tabelle 20'!$C$5=AG5,'Tabelle 20'!$R$5,"")&amp;IF('Tabelle 20'!$C$6=AG5,'Tabelle 20'!$R$6,"")&amp;IF('Tabelle 20'!$C$7=AG5,'Tabelle 20'!$R$7,"")&amp;IF('Tabelle 20'!$C$8=AG5,'Tabelle 20'!$R$8,"")&amp;IF('Tabelle 20'!$C$9=AG5,'Tabelle 20'!$R$9,"")&amp;IF('Tabelle 20'!$C$10=AG5,'Tabelle 20'!$R$10,"")&amp;IF('Tabelle 20'!$C$11=AG5,'Tabelle 20'!$R$11,"")&amp;IF('Tabelle 20'!$C$12=AG5,'Tabelle 20'!$R$12,"")&amp;IF('Tabelle 20'!$C$13=AG5,'Tabelle 20'!$R$13,"")&amp;IF('Tabelle 20'!$C$14=AG5,'Tabelle 20'!$R$14,"")&amp;IF('Tabelle 20'!$C$15=AG5,'Tabelle 20'!$R$15,"")&amp;IF('Tabelle 20'!$C$16=AG5,'Tabelle 20'!$R$16,"")&amp;IF('Tabelle 20'!$C$17=AG5,'Tabelle 20'!$R$17,"")&amp;IF('Tabelle 20'!$C$18=AG5,'Tabelle 20'!$R$18,"")&amp;IF('Tabelle 20'!$C$19=AG5,'Tabelle 20'!$R$19,"")&amp;IF('Tabelle 20'!$C$20=AG5,'Tabelle 20'!$R$20,"")&amp;IF('Tabelle 20'!$C$21=AG5,'Tabelle 20'!$R$21,"")&amp;IF('Tabelle 20'!$C$22=AG5,'Tabelle 20'!$R$22,"")&amp;IF('Tabelle 20'!$C$23=AG5,'Tabelle 20'!$R$23,"")&amp;IF('Tabelle 20'!$C$24=AG5,'Tabelle 20'!$R$24,"")</f>
        <v> </v>
      </c>
      <c r="BE5" s="125">
        <v>1</v>
      </c>
      <c r="BF5" s="3">
        <f>'Tabelle 20'!N5</f>
        <v>0.2</v>
      </c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2:83" ht="24.75" customHeight="1">
      <c r="B6" s="10">
        <v>2</v>
      </c>
      <c r="C6" s="26" t="str">
        <f t="shared" si="0"/>
        <v>Spieler 2</v>
      </c>
      <c r="D6" s="56" t="str">
        <f t="shared" si="1"/>
        <v> </v>
      </c>
      <c r="E6" s="66" t="str">
        <f t="shared" si="2"/>
        <v> </v>
      </c>
      <c r="F6" s="56" t="str">
        <f t="shared" si="3"/>
        <v> </v>
      </c>
      <c r="G6" s="56" t="str">
        <f t="shared" si="4"/>
        <v> </v>
      </c>
      <c r="H6" s="56" t="str">
        <f t="shared" si="5"/>
        <v> </v>
      </c>
      <c r="I6" s="56" t="str">
        <f t="shared" si="6"/>
        <v> </v>
      </c>
      <c r="J6" s="56" t="str">
        <f t="shared" si="7"/>
        <v> </v>
      </c>
      <c r="K6" s="56" t="str">
        <f t="shared" si="8"/>
        <v> </v>
      </c>
      <c r="L6" s="56" t="str">
        <f t="shared" si="9"/>
        <v> </v>
      </c>
      <c r="M6" s="56" t="str">
        <f t="shared" si="10"/>
        <v> </v>
      </c>
      <c r="N6" s="56" t="str">
        <f t="shared" si="11"/>
        <v> </v>
      </c>
      <c r="O6" s="56" t="str">
        <f t="shared" si="12"/>
        <v> </v>
      </c>
      <c r="P6" s="56" t="str">
        <f t="shared" si="13"/>
        <v> </v>
      </c>
      <c r="Q6" s="56" t="str">
        <f t="shared" si="14"/>
        <v> </v>
      </c>
      <c r="R6" s="56" t="str">
        <f t="shared" si="15"/>
        <v> </v>
      </c>
      <c r="S6" s="56" t="str">
        <f t="shared" si="16"/>
        <v> </v>
      </c>
      <c r="T6" s="56" t="str">
        <f t="shared" si="17"/>
        <v> </v>
      </c>
      <c r="U6" s="56" t="str">
        <f t="shared" si="18"/>
        <v> </v>
      </c>
      <c r="V6" s="56" t="str">
        <f t="shared" si="19"/>
        <v> </v>
      </c>
      <c r="W6" s="30" t="str">
        <f t="shared" si="20"/>
        <v> </v>
      </c>
      <c r="X6" s="73" t="str">
        <f t="shared" si="21"/>
        <v> </v>
      </c>
      <c r="Y6" s="71">
        <f t="shared" si="22"/>
      </c>
      <c r="Z6" s="60" t="str">
        <f t="shared" si="23"/>
        <v> </v>
      </c>
      <c r="AA6" s="2"/>
      <c r="AB6" s="2"/>
      <c r="AC6" s="2"/>
      <c r="AD6" s="2"/>
      <c r="AE6" s="2">
        <f aca="true" t="shared" si="26" ref="AE6:AE24">RANK(BF6,$BF$5:$BF$24,0)</f>
        <v>2</v>
      </c>
      <c r="AF6" s="10">
        <v>2</v>
      </c>
      <c r="AG6" s="26" t="str">
        <f>Eingabe!$C$7</f>
        <v>Spieler 2</v>
      </c>
      <c r="AH6" s="56" t="str">
        <f>'20 Spieler'!$AM$35</f>
        <v> </v>
      </c>
      <c r="AI6" s="66" t="s">
        <v>28</v>
      </c>
      <c r="AJ6" s="56" t="str">
        <f>'20 Spieler'!$AG$35</f>
        <v> </v>
      </c>
      <c r="AK6" s="56" t="str">
        <f>'20 Spieler'!$W$55</f>
        <v> </v>
      </c>
      <c r="AL6" s="56" t="str">
        <f>'20 Spieler'!$Y$34</f>
        <v> </v>
      </c>
      <c r="AM6" s="56" t="str">
        <f>'20 Spieler'!$O$56</f>
        <v> </v>
      </c>
      <c r="AN6" s="56" t="str">
        <f>'20 Spieler'!$Q$33</f>
        <v> </v>
      </c>
      <c r="AO6" s="56" t="str">
        <f>'20 Spieler'!$G$57</f>
        <v> </v>
      </c>
      <c r="AP6" s="56" t="str">
        <f>'20 Spieler'!$I$32</f>
        <v> </v>
      </c>
      <c r="AQ6" s="56" t="str">
        <f>'20 Spieler'!$AM$44</f>
        <v> </v>
      </c>
      <c r="AR6" s="56" t="str">
        <f>'20 Spieler'!$AO$17</f>
        <v> </v>
      </c>
      <c r="AS6" s="56" t="str">
        <f>'20 Spieler'!$AE$45</f>
        <v> </v>
      </c>
      <c r="AT6" s="56" t="str">
        <f>'20 Spieler'!$AG$16</f>
        <v> </v>
      </c>
      <c r="AU6" s="56" t="str">
        <f>'20 Spieler'!$W$46</f>
        <v> </v>
      </c>
      <c r="AV6" s="56" t="str">
        <f>'20 Spieler'!$Y$15</f>
        <v> </v>
      </c>
      <c r="AW6" s="56" t="str">
        <f>'20 Spieler'!$O$47</f>
        <v> </v>
      </c>
      <c r="AX6" s="56" t="str">
        <f>'20 Spieler'!$Q$14</f>
        <v> </v>
      </c>
      <c r="AY6" s="56" t="str">
        <f>'20 Spieler'!$G$48</f>
        <v> </v>
      </c>
      <c r="AZ6" s="56" t="str">
        <f>'20 Spieler'!$I$13</f>
        <v> </v>
      </c>
      <c r="BA6" s="30" t="str">
        <f>'20 Spieler'!$AE$54</f>
        <v> </v>
      </c>
      <c r="BB6" s="73" t="str">
        <f t="shared" si="24"/>
        <v> </v>
      </c>
      <c r="BC6" s="71">
        <f t="shared" si="25"/>
      </c>
      <c r="BD6" s="60" t="str">
        <f>IF('Tabelle 20'!$C$5=AG6,'Tabelle 20'!$R$5,"")&amp;IF('Tabelle 20'!$C$6=AG6,'Tabelle 20'!$R$6,"")&amp;IF('Tabelle 20'!$C$7=AG6,'Tabelle 20'!$R$7,"")&amp;IF('Tabelle 20'!$C$8=AG6,'Tabelle 20'!$R$8,"")&amp;IF('Tabelle 20'!$C$9=AG6,'Tabelle 20'!$R$9,"")&amp;IF('Tabelle 20'!$C$10=AG6,'Tabelle 20'!$R$10,"")&amp;IF('Tabelle 20'!$C$11=AG6,'Tabelle 20'!$R$11,"")&amp;IF('Tabelle 20'!$C$12=AG6,'Tabelle 20'!$R$12,"")&amp;IF('Tabelle 20'!$C$13=AG6,'Tabelle 20'!$R$13,"")&amp;IF('Tabelle 20'!$C$14=AG6,'Tabelle 20'!$R$14,"")&amp;IF('Tabelle 20'!$C$15=AG6,'Tabelle 20'!$R$15,"")&amp;IF('Tabelle 20'!$C$16=AG6,'Tabelle 20'!$R$16,"")&amp;IF('Tabelle 20'!$C$17=AG6,'Tabelle 20'!$R$17,"")&amp;IF('Tabelle 20'!$C$18=AG6,'Tabelle 20'!$R$18,"")&amp;IF('Tabelle 20'!$C$19=AG6,'Tabelle 20'!$R$19,"")&amp;IF('Tabelle 20'!$C$20=AG6,'Tabelle 20'!$R$20,"")&amp;IF('Tabelle 20'!$C$21=AG6,'Tabelle 20'!$R$21,"")&amp;IF('Tabelle 20'!$C$22=AG6,'Tabelle 20'!$R$22,"")&amp;IF('Tabelle 20'!$C$23=AG6,'Tabelle 20'!$R$23,"")&amp;IF('Tabelle 20'!$C$24=AG6,'Tabelle 20'!$R$24,"")</f>
        <v> </v>
      </c>
      <c r="BE6" s="125">
        <v>2</v>
      </c>
      <c r="BF6" s="3">
        <f>'Tabelle 20'!N6</f>
        <v>0.19</v>
      </c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</row>
    <row r="7" spans="2:83" ht="24.75" customHeight="1">
      <c r="B7" s="10">
        <v>3</v>
      </c>
      <c r="C7" s="26" t="str">
        <f t="shared" si="0"/>
        <v>Spieler 3</v>
      </c>
      <c r="D7" s="56" t="str">
        <f t="shared" si="1"/>
        <v> </v>
      </c>
      <c r="E7" s="56" t="str">
        <f t="shared" si="2"/>
        <v> </v>
      </c>
      <c r="F7" s="66" t="str">
        <f t="shared" si="3"/>
        <v> </v>
      </c>
      <c r="G7" s="56" t="str">
        <f t="shared" si="4"/>
        <v> </v>
      </c>
      <c r="H7" s="56" t="str">
        <f t="shared" si="5"/>
        <v> </v>
      </c>
      <c r="I7" s="56" t="str">
        <f t="shared" si="6"/>
        <v> </v>
      </c>
      <c r="J7" s="56" t="str">
        <f t="shared" si="7"/>
        <v> </v>
      </c>
      <c r="K7" s="56" t="str">
        <f t="shared" si="8"/>
        <v> </v>
      </c>
      <c r="L7" s="56" t="str">
        <f t="shared" si="9"/>
        <v> </v>
      </c>
      <c r="M7" s="56" t="str">
        <f t="shared" si="10"/>
        <v> </v>
      </c>
      <c r="N7" s="56" t="str">
        <f t="shared" si="11"/>
        <v> </v>
      </c>
      <c r="O7" s="56" t="str">
        <f t="shared" si="12"/>
        <v> </v>
      </c>
      <c r="P7" s="56" t="str">
        <f t="shared" si="13"/>
        <v> </v>
      </c>
      <c r="Q7" s="56" t="str">
        <f t="shared" si="14"/>
        <v> </v>
      </c>
      <c r="R7" s="56" t="str">
        <f t="shared" si="15"/>
        <v> </v>
      </c>
      <c r="S7" s="56" t="str">
        <f t="shared" si="16"/>
        <v> </v>
      </c>
      <c r="T7" s="56" t="str">
        <f t="shared" si="17"/>
        <v> </v>
      </c>
      <c r="U7" s="56" t="str">
        <f t="shared" si="18"/>
        <v> </v>
      </c>
      <c r="V7" s="56" t="str">
        <f t="shared" si="19"/>
        <v> </v>
      </c>
      <c r="W7" s="30" t="str">
        <f t="shared" si="20"/>
        <v> </v>
      </c>
      <c r="X7" s="73" t="str">
        <f t="shared" si="21"/>
        <v> </v>
      </c>
      <c r="Y7" s="71">
        <f t="shared" si="22"/>
      </c>
      <c r="Z7" s="60" t="str">
        <f t="shared" si="23"/>
        <v> </v>
      </c>
      <c r="AA7" s="2"/>
      <c r="AB7" s="2"/>
      <c r="AC7" s="2"/>
      <c r="AD7" s="2"/>
      <c r="AE7" s="2">
        <f t="shared" si="26"/>
        <v>3</v>
      </c>
      <c r="AF7" s="10">
        <v>3</v>
      </c>
      <c r="AG7" s="26" t="str">
        <f>Eingabe!$C$8</f>
        <v>Spieler 3</v>
      </c>
      <c r="AH7" s="56" t="str">
        <f>'20 Spieler'!$AG$55</f>
        <v> </v>
      </c>
      <c r="AI7" s="56" t="str">
        <f>'20 Spieler'!$AE$35</f>
        <v> </v>
      </c>
      <c r="AJ7" s="66" t="s">
        <v>28</v>
      </c>
      <c r="AK7" s="56" t="str">
        <f>'20 Spieler'!$Y$35</f>
        <v> </v>
      </c>
      <c r="AL7" s="56" t="str">
        <f>'20 Spieler'!$O$55</f>
        <v> </v>
      </c>
      <c r="AM7" s="56" t="str">
        <f>'20 Spieler'!$Q$34</f>
        <v> </v>
      </c>
      <c r="AN7" s="56" t="str">
        <f>'20 Spieler'!$G$56</f>
        <v> </v>
      </c>
      <c r="AO7" s="56" t="str">
        <f>'20 Spieler'!$I$33</f>
        <v> </v>
      </c>
      <c r="AP7" s="56" t="str">
        <f>'20 Spieler'!$AM$43</f>
        <v> </v>
      </c>
      <c r="AQ7" s="56" t="str">
        <f>'20 Spieler'!$AO$18</f>
        <v> </v>
      </c>
      <c r="AR7" s="56" t="str">
        <f>'20 Spieler'!$AE$44</f>
        <v> </v>
      </c>
      <c r="AS7" s="56" t="str">
        <f>'20 Spieler'!$AG$17</f>
        <v> </v>
      </c>
      <c r="AT7" s="56" t="str">
        <f>'20 Spieler'!$W$45</f>
        <v> </v>
      </c>
      <c r="AU7" s="56" t="str">
        <f>'20 Spieler'!$Y$16</f>
        <v> </v>
      </c>
      <c r="AV7" s="56" t="str">
        <f>'20 Spieler'!$O$46</f>
        <v> </v>
      </c>
      <c r="AW7" s="56" t="str">
        <f>'20 Spieler'!$Q$15</f>
        <v> </v>
      </c>
      <c r="AX7" s="56" t="str">
        <f>'20 Spieler'!$G$47</f>
        <v> </v>
      </c>
      <c r="AY7" s="56" t="str">
        <f>'20 Spieler'!$I$14</f>
        <v> </v>
      </c>
      <c r="AZ7" s="56" t="str">
        <f>'20 Spieler'!$AM$34</f>
        <v> </v>
      </c>
      <c r="BA7" s="30" t="str">
        <f>'20 Spieler'!$W$54</f>
        <v> </v>
      </c>
      <c r="BB7" s="73" t="str">
        <f t="shared" si="24"/>
        <v> </v>
      </c>
      <c r="BC7" s="71">
        <f t="shared" si="25"/>
      </c>
      <c r="BD7" s="60" t="str">
        <f>IF('Tabelle 20'!$C$5=AG7,'Tabelle 20'!$R$5,"")&amp;IF('Tabelle 20'!$C$6=AG7,'Tabelle 20'!$R$6,"")&amp;IF('Tabelle 20'!$C$7=AG7,'Tabelle 20'!$R$7,"")&amp;IF('Tabelle 20'!$C$8=AG7,'Tabelle 20'!$R$8,"")&amp;IF('Tabelle 20'!$C$9=AG7,'Tabelle 20'!$R$9,"")&amp;IF('Tabelle 20'!$C$10=AG7,'Tabelle 20'!$R$10,"")&amp;IF('Tabelle 20'!$C$11=AG7,'Tabelle 20'!$R$11,"")&amp;IF('Tabelle 20'!$C$12=AG7,'Tabelle 20'!$R$12,"")&amp;IF('Tabelle 20'!$C$13=AG7,'Tabelle 20'!$R$13,"")&amp;IF('Tabelle 20'!$C$14=AG7,'Tabelle 20'!$R$14,"")&amp;IF('Tabelle 20'!$C$15=AG7,'Tabelle 20'!$R$15,"")&amp;IF('Tabelle 20'!$C$16=AG7,'Tabelle 20'!$R$16,"")&amp;IF('Tabelle 20'!$C$17=AG7,'Tabelle 20'!$R$17,"")&amp;IF('Tabelle 20'!$C$18=AG7,'Tabelle 20'!$R$18,"")&amp;IF('Tabelle 20'!$C$19=AG7,'Tabelle 20'!$R$19,"")&amp;IF('Tabelle 20'!$C$20=AG7,'Tabelle 20'!$R$20,"")&amp;IF('Tabelle 20'!$C$21=AG7,'Tabelle 20'!$R$21,"")&amp;IF('Tabelle 20'!$C$22=AG7,'Tabelle 20'!$R$22,"")&amp;IF('Tabelle 20'!$C$23=AG7,'Tabelle 20'!$R$23,"")&amp;IF('Tabelle 20'!$C$24=AG7,'Tabelle 20'!$R$24,"")</f>
        <v> </v>
      </c>
      <c r="BE7" s="125">
        <v>3</v>
      </c>
      <c r="BF7" s="3">
        <f>'Tabelle 20'!N7</f>
        <v>0.18</v>
      </c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</row>
    <row r="8" spans="2:83" ht="24.75" customHeight="1">
      <c r="B8" s="10">
        <v>4</v>
      </c>
      <c r="C8" s="26" t="str">
        <f t="shared" si="0"/>
        <v>Spieler 4</v>
      </c>
      <c r="D8" s="56" t="str">
        <f t="shared" si="1"/>
        <v> </v>
      </c>
      <c r="E8" s="56" t="str">
        <f t="shared" si="2"/>
        <v> </v>
      </c>
      <c r="F8" s="56" t="str">
        <f t="shared" si="3"/>
        <v> </v>
      </c>
      <c r="G8" s="66" t="str">
        <f t="shared" si="4"/>
        <v> </v>
      </c>
      <c r="H8" s="56" t="str">
        <f t="shared" si="5"/>
        <v> </v>
      </c>
      <c r="I8" s="56" t="str">
        <f t="shared" si="6"/>
        <v> </v>
      </c>
      <c r="J8" s="56" t="str">
        <f t="shared" si="7"/>
        <v> </v>
      </c>
      <c r="K8" s="56" t="str">
        <f t="shared" si="8"/>
        <v> </v>
      </c>
      <c r="L8" s="56" t="str">
        <f t="shared" si="9"/>
        <v> </v>
      </c>
      <c r="M8" s="56" t="str">
        <f t="shared" si="10"/>
        <v> </v>
      </c>
      <c r="N8" s="56" t="str">
        <f t="shared" si="11"/>
        <v> </v>
      </c>
      <c r="O8" s="56" t="str">
        <f t="shared" si="12"/>
        <v> </v>
      </c>
      <c r="P8" s="56" t="str">
        <f t="shared" si="13"/>
        <v> </v>
      </c>
      <c r="Q8" s="56" t="str">
        <f t="shared" si="14"/>
        <v> </v>
      </c>
      <c r="R8" s="56" t="str">
        <f t="shared" si="15"/>
        <v> </v>
      </c>
      <c r="S8" s="56" t="str">
        <f t="shared" si="16"/>
        <v> </v>
      </c>
      <c r="T8" s="56" t="str">
        <f t="shared" si="17"/>
        <v> </v>
      </c>
      <c r="U8" s="56" t="str">
        <f t="shared" si="18"/>
        <v> </v>
      </c>
      <c r="V8" s="56" t="str">
        <f t="shared" si="19"/>
        <v> </v>
      </c>
      <c r="W8" s="30" t="str">
        <f t="shared" si="20"/>
        <v> </v>
      </c>
      <c r="X8" s="73" t="str">
        <f t="shared" si="21"/>
        <v> </v>
      </c>
      <c r="Y8" s="71">
        <f t="shared" si="22"/>
      </c>
      <c r="Z8" s="60" t="str">
        <f t="shared" si="23"/>
        <v> </v>
      </c>
      <c r="AA8" s="2"/>
      <c r="AB8" s="2"/>
      <c r="AC8" s="2"/>
      <c r="AD8" s="2"/>
      <c r="AE8" s="2">
        <f t="shared" si="26"/>
        <v>4</v>
      </c>
      <c r="AF8" s="10">
        <v>4</v>
      </c>
      <c r="AG8" s="26" t="str">
        <f>Eingabe!$C$9</f>
        <v>Spieler 4</v>
      </c>
      <c r="AH8" s="56" t="str">
        <f>'20 Spieler'!$AE$34</f>
        <v> </v>
      </c>
      <c r="AI8" s="56" t="str">
        <f>'20 Spieler'!$Y$55</f>
        <v> </v>
      </c>
      <c r="AJ8" s="56" t="str">
        <f>'20 Spieler'!$W$35</f>
        <v> </v>
      </c>
      <c r="AK8" s="66" t="s">
        <v>28</v>
      </c>
      <c r="AL8" s="56" t="str">
        <f>'20 Spieler'!$Q$35</f>
        <v> </v>
      </c>
      <c r="AM8" s="56" t="str">
        <f>'20 Spieler'!$G$55</f>
        <v> </v>
      </c>
      <c r="AN8" s="56" t="str">
        <f>'20 Spieler'!$I$34</f>
        <v> </v>
      </c>
      <c r="AO8" s="56" t="str">
        <f>'20 Spieler'!$AM$42</f>
        <v> </v>
      </c>
      <c r="AP8" s="56" t="str">
        <f>'20 Spieler'!$AO$19</f>
        <v> </v>
      </c>
      <c r="AQ8" s="56" t="str">
        <f>'20 Spieler'!$AE$43</f>
        <v> </v>
      </c>
      <c r="AR8" s="56" t="str">
        <f>'20 Spieler'!$AG$18</f>
        <v> </v>
      </c>
      <c r="AS8" s="56" t="str">
        <f>'20 Spieler'!$W$44</f>
        <v> </v>
      </c>
      <c r="AT8" s="56" t="str">
        <f>'20 Spieler'!$Y$17</f>
        <v> </v>
      </c>
      <c r="AU8" s="56" t="str">
        <f>'20 Spieler'!$O$45</f>
        <v> </v>
      </c>
      <c r="AV8" s="56" t="str">
        <f>'20 Spieler'!$Q$16</f>
        <v> </v>
      </c>
      <c r="AW8" s="56" t="str">
        <f>'20 Spieler'!$G$46</f>
        <v> </v>
      </c>
      <c r="AX8" s="56" t="str">
        <f>'20 Spieler'!$I$15</f>
        <v> </v>
      </c>
      <c r="AY8" s="56" t="str">
        <f>'20 Spieler'!$AM$33</f>
        <v> </v>
      </c>
      <c r="AZ8" s="56" t="str">
        <f>'20 Spieler'!$AG$56</f>
        <v> </v>
      </c>
      <c r="BA8" s="30" t="str">
        <f>'20 Spieler'!$O$54</f>
        <v> </v>
      </c>
      <c r="BB8" s="73" t="str">
        <f t="shared" si="24"/>
        <v> </v>
      </c>
      <c r="BC8" s="71">
        <f t="shared" si="25"/>
      </c>
      <c r="BD8" s="60" t="str">
        <f>IF('Tabelle 20'!$C$5=AG8,'Tabelle 20'!$R$5,"")&amp;IF('Tabelle 20'!$C$6=AG8,'Tabelle 20'!$R$6,"")&amp;IF('Tabelle 20'!$C$7=AG8,'Tabelle 20'!$R$7,"")&amp;IF('Tabelle 20'!$C$8=AG8,'Tabelle 20'!$R$8,"")&amp;IF('Tabelle 20'!$C$9=AG8,'Tabelle 20'!$R$9,"")&amp;IF('Tabelle 20'!$C$10=AG8,'Tabelle 20'!$R$10,"")&amp;IF('Tabelle 20'!$C$11=AG8,'Tabelle 20'!$R$11,"")&amp;IF('Tabelle 20'!$C$12=AG8,'Tabelle 20'!$R$12,"")&amp;IF('Tabelle 20'!$C$13=AG8,'Tabelle 20'!$R$13,"")&amp;IF('Tabelle 20'!$C$14=AG8,'Tabelle 20'!$R$14,"")&amp;IF('Tabelle 20'!$C$15=AG8,'Tabelle 20'!$R$15,"")&amp;IF('Tabelle 20'!$C$16=AG8,'Tabelle 20'!$R$16,"")&amp;IF('Tabelle 20'!$C$17=AG8,'Tabelle 20'!$R$17,"")&amp;IF('Tabelle 20'!$C$18=AG8,'Tabelle 20'!$R$18,"")&amp;IF('Tabelle 20'!$C$19=AG8,'Tabelle 20'!$R$19,"")&amp;IF('Tabelle 20'!$C$20=AG8,'Tabelle 20'!$R$20,"")&amp;IF('Tabelle 20'!$C$21=AG8,'Tabelle 20'!$R$21,"")&amp;IF('Tabelle 20'!$C$22=AG8,'Tabelle 20'!$R$22,"")&amp;IF('Tabelle 20'!$C$23=AG8,'Tabelle 20'!$R$23,"")&amp;IF('Tabelle 20'!$C$24=AG8,'Tabelle 20'!$R$24,"")</f>
        <v> </v>
      </c>
      <c r="BE8" s="126">
        <v>4</v>
      </c>
      <c r="BF8" s="3">
        <f>'Tabelle 20'!N8</f>
        <v>0.17</v>
      </c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2:83" ht="24.75" customHeight="1">
      <c r="B9" s="10">
        <v>5</v>
      </c>
      <c r="C9" s="26" t="str">
        <f t="shared" si="0"/>
        <v>Spieler 5</v>
      </c>
      <c r="D9" s="56" t="str">
        <f t="shared" si="1"/>
        <v> </v>
      </c>
      <c r="E9" s="56" t="str">
        <f t="shared" si="2"/>
        <v> </v>
      </c>
      <c r="F9" s="56" t="str">
        <f t="shared" si="3"/>
        <v> </v>
      </c>
      <c r="G9" s="56" t="str">
        <f t="shared" si="4"/>
        <v> </v>
      </c>
      <c r="H9" s="66" t="str">
        <f t="shared" si="5"/>
        <v> </v>
      </c>
      <c r="I9" s="56" t="str">
        <f t="shared" si="6"/>
        <v> </v>
      </c>
      <c r="J9" s="56" t="str">
        <f t="shared" si="7"/>
        <v> </v>
      </c>
      <c r="K9" s="56" t="str">
        <f t="shared" si="8"/>
        <v> </v>
      </c>
      <c r="L9" s="56" t="str">
        <f t="shared" si="9"/>
        <v> </v>
      </c>
      <c r="M9" s="56" t="str">
        <f t="shared" si="10"/>
        <v> </v>
      </c>
      <c r="N9" s="56" t="str">
        <f t="shared" si="11"/>
        <v> </v>
      </c>
      <c r="O9" s="56" t="str">
        <f t="shared" si="12"/>
        <v> </v>
      </c>
      <c r="P9" s="56" t="str">
        <f t="shared" si="13"/>
        <v> </v>
      </c>
      <c r="Q9" s="56" t="str">
        <f t="shared" si="14"/>
        <v> </v>
      </c>
      <c r="R9" s="56" t="str">
        <f t="shared" si="15"/>
        <v> </v>
      </c>
      <c r="S9" s="56" t="str">
        <f t="shared" si="16"/>
        <v> </v>
      </c>
      <c r="T9" s="56" t="str">
        <f t="shared" si="17"/>
        <v> </v>
      </c>
      <c r="U9" s="56" t="str">
        <f t="shared" si="18"/>
        <v> </v>
      </c>
      <c r="V9" s="56" t="str">
        <f t="shared" si="19"/>
        <v> </v>
      </c>
      <c r="W9" s="30" t="str">
        <f t="shared" si="20"/>
        <v> </v>
      </c>
      <c r="X9" s="73" t="str">
        <f t="shared" si="21"/>
        <v> </v>
      </c>
      <c r="Y9" s="71">
        <f t="shared" si="22"/>
      </c>
      <c r="Z9" s="60" t="str">
        <f t="shared" si="23"/>
        <v> </v>
      </c>
      <c r="AA9" s="2"/>
      <c r="AB9" s="2"/>
      <c r="AC9" s="2"/>
      <c r="AD9" s="2"/>
      <c r="AE9" s="2">
        <f t="shared" si="26"/>
        <v>5</v>
      </c>
      <c r="AF9" s="10">
        <v>5</v>
      </c>
      <c r="AG9" s="26" t="str">
        <f>Eingabe!$C$10</f>
        <v>Spieler 5</v>
      </c>
      <c r="AH9" s="56" t="str">
        <f>'20 Spieler'!$Y$56</f>
        <v> </v>
      </c>
      <c r="AI9" s="56" t="str">
        <f>'20 Spieler'!$W$34</f>
        <v> </v>
      </c>
      <c r="AJ9" s="56" t="str">
        <f>'20 Spieler'!$Q$55</f>
        <v> </v>
      </c>
      <c r="AK9" s="56" t="str">
        <f>'20 Spieler'!$O$35</f>
        <v> </v>
      </c>
      <c r="AL9" s="66" t="s">
        <v>28</v>
      </c>
      <c r="AM9" s="56" t="str">
        <f>'20 Spieler'!$I$35</f>
        <v> </v>
      </c>
      <c r="AN9" s="56" t="str">
        <f>'20 Spieler'!$AM$41</f>
        <v> </v>
      </c>
      <c r="AO9" s="56" t="str">
        <f>'20 Spieler'!$AO$20</f>
        <v> </v>
      </c>
      <c r="AP9" s="56" t="str">
        <f>'20 Spieler'!$AE$42</f>
        <v> </v>
      </c>
      <c r="AQ9" s="56" t="str">
        <f>'20 Spieler'!$AG$19</f>
        <v> </v>
      </c>
      <c r="AR9" s="56" t="str">
        <f>'20 Spieler'!$W$43</f>
        <v> </v>
      </c>
      <c r="AS9" s="56" t="str">
        <f>'20 Spieler'!$Y$18</f>
        <v> </v>
      </c>
      <c r="AT9" s="56" t="str">
        <f>'20 Spieler'!$O$44</f>
        <v> </v>
      </c>
      <c r="AU9" s="56" t="str">
        <f>'20 Spieler'!$Q$17</f>
        <v> </v>
      </c>
      <c r="AV9" s="56" t="str">
        <f>'20 Spieler'!$G$45</f>
        <v> </v>
      </c>
      <c r="AW9" s="56" t="str">
        <f>'20 Spieler'!$I$16</f>
        <v> </v>
      </c>
      <c r="AX9" s="56" t="str">
        <f>'20 Spieler'!$AM$32</f>
        <v> </v>
      </c>
      <c r="AY9" s="56" t="str">
        <f>'20 Spieler'!$AG$57</f>
        <v> </v>
      </c>
      <c r="AZ9" s="56" t="str">
        <f>'20 Spieler'!$AE$33</f>
        <v> </v>
      </c>
      <c r="BA9" s="30" t="str">
        <f>'20 Spieler'!$G$54</f>
        <v> </v>
      </c>
      <c r="BB9" s="73" t="str">
        <f t="shared" si="24"/>
        <v> </v>
      </c>
      <c r="BC9" s="71">
        <f t="shared" si="25"/>
      </c>
      <c r="BD9" s="60" t="str">
        <f>IF('Tabelle 20'!$C$5=AG9,'Tabelle 20'!$R$5,"")&amp;IF('Tabelle 20'!$C$6=AG9,'Tabelle 20'!$R$6,"")&amp;IF('Tabelle 20'!$C$7=AG9,'Tabelle 20'!$R$7,"")&amp;IF('Tabelle 20'!$C$8=AG9,'Tabelle 20'!$R$8,"")&amp;IF('Tabelle 20'!$C$9=AG9,'Tabelle 20'!$R$9,"")&amp;IF('Tabelle 20'!$C$10=AG9,'Tabelle 20'!$R$10,"")&amp;IF('Tabelle 20'!$C$11=AG9,'Tabelle 20'!$R$11,"")&amp;IF('Tabelle 20'!$C$12=AG9,'Tabelle 20'!$R$12,"")&amp;IF('Tabelle 20'!$C$13=AG9,'Tabelle 20'!$R$13,"")&amp;IF('Tabelle 20'!$C$14=AG9,'Tabelle 20'!$R$14,"")&amp;IF('Tabelle 20'!$C$15=AG9,'Tabelle 20'!$R$15,"")&amp;IF('Tabelle 20'!$C$16=AG9,'Tabelle 20'!$R$16,"")&amp;IF('Tabelle 20'!$C$17=AG9,'Tabelle 20'!$R$17,"")&amp;IF('Tabelle 20'!$C$18=AG9,'Tabelle 20'!$R$18,"")&amp;IF('Tabelle 20'!$C$19=AG9,'Tabelle 20'!$R$19,"")&amp;IF('Tabelle 20'!$C$20=AG9,'Tabelle 20'!$R$20,"")&amp;IF('Tabelle 20'!$C$21=AG9,'Tabelle 20'!$R$21,"")&amp;IF('Tabelle 20'!$C$22=AG9,'Tabelle 20'!$R$22,"")&amp;IF('Tabelle 20'!$C$23=AG9,'Tabelle 20'!$R$23,"")&amp;IF('Tabelle 20'!$C$24=AG9,'Tabelle 20'!$R$24,"")</f>
        <v> </v>
      </c>
      <c r="BE9" s="126">
        <v>5</v>
      </c>
      <c r="BF9" s="3">
        <f>'Tabelle 20'!N9</f>
        <v>0.16</v>
      </c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</row>
    <row r="10" spans="2:83" ht="24.75" customHeight="1">
      <c r="B10" s="10">
        <v>6</v>
      </c>
      <c r="C10" s="26" t="str">
        <f t="shared" si="0"/>
        <v>Spieler 6</v>
      </c>
      <c r="D10" s="56" t="str">
        <f t="shared" si="1"/>
        <v> </v>
      </c>
      <c r="E10" s="56" t="str">
        <f t="shared" si="2"/>
        <v> </v>
      </c>
      <c r="F10" s="56" t="str">
        <f t="shared" si="3"/>
        <v> </v>
      </c>
      <c r="G10" s="56" t="str">
        <f t="shared" si="4"/>
        <v> </v>
      </c>
      <c r="H10" s="56" t="str">
        <f t="shared" si="5"/>
        <v> </v>
      </c>
      <c r="I10" s="66" t="str">
        <f t="shared" si="6"/>
        <v> </v>
      </c>
      <c r="J10" s="56" t="str">
        <f t="shared" si="7"/>
        <v> </v>
      </c>
      <c r="K10" s="56" t="str">
        <f t="shared" si="8"/>
        <v> </v>
      </c>
      <c r="L10" s="56" t="str">
        <f t="shared" si="9"/>
        <v> </v>
      </c>
      <c r="M10" s="56" t="str">
        <f t="shared" si="10"/>
        <v> </v>
      </c>
      <c r="N10" s="56" t="str">
        <f t="shared" si="11"/>
        <v> </v>
      </c>
      <c r="O10" s="56" t="str">
        <f t="shared" si="12"/>
        <v> </v>
      </c>
      <c r="P10" s="56" t="str">
        <f t="shared" si="13"/>
        <v> </v>
      </c>
      <c r="Q10" s="56" t="str">
        <f t="shared" si="14"/>
        <v> </v>
      </c>
      <c r="R10" s="56" t="str">
        <f t="shared" si="15"/>
        <v> </v>
      </c>
      <c r="S10" s="56" t="str">
        <f t="shared" si="16"/>
        <v> </v>
      </c>
      <c r="T10" s="56" t="str">
        <f t="shared" si="17"/>
        <v> </v>
      </c>
      <c r="U10" s="56" t="str">
        <f t="shared" si="18"/>
        <v> </v>
      </c>
      <c r="V10" s="56" t="str">
        <f t="shared" si="19"/>
        <v> </v>
      </c>
      <c r="W10" s="30" t="str">
        <f t="shared" si="20"/>
        <v> </v>
      </c>
      <c r="X10" s="73" t="str">
        <f t="shared" si="21"/>
        <v> </v>
      </c>
      <c r="Y10" s="71">
        <f t="shared" si="22"/>
      </c>
      <c r="Z10" s="60" t="str">
        <f t="shared" si="23"/>
        <v> </v>
      </c>
      <c r="AA10" s="2"/>
      <c r="AB10" s="2"/>
      <c r="AC10" s="2"/>
      <c r="AD10" s="2"/>
      <c r="AE10" s="2">
        <f t="shared" si="26"/>
        <v>6</v>
      </c>
      <c r="AF10" s="10">
        <v>6</v>
      </c>
      <c r="AG10" s="26" t="str">
        <f>Eingabe!$C$11</f>
        <v>Spieler 6</v>
      </c>
      <c r="AH10" s="56" t="str">
        <f>'20 Spieler'!$W$33</f>
        <v> </v>
      </c>
      <c r="AI10" s="56" t="str">
        <f>'20 Spieler'!$Q$56</f>
        <v> </v>
      </c>
      <c r="AJ10" s="56" t="str">
        <f>'20 Spieler'!$O$34</f>
        <v> </v>
      </c>
      <c r="AK10" s="56" t="str">
        <f>'20 Spieler'!$I$55</f>
        <v> </v>
      </c>
      <c r="AL10" s="56" t="str">
        <f>'20 Spieler'!$G$35</f>
        <v> </v>
      </c>
      <c r="AM10" s="66" t="s">
        <v>28</v>
      </c>
      <c r="AN10" s="56" t="str">
        <f>'20 Spieler'!$AO$21</f>
        <v> </v>
      </c>
      <c r="AO10" s="56" t="str">
        <f>'20 Spieler'!$AE$41</f>
        <v> </v>
      </c>
      <c r="AP10" s="56" t="str">
        <f>'20 Spieler'!$AG$20</f>
        <v> </v>
      </c>
      <c r="AQ10" s="56" t="str">
        <f>'20 Spieler'!$W$42</f>
        <v> </v>
      </c>
      <c r="AR10" s="56" t="str">
        <f>'20 Spieler'!$Y$19</f>
        <v> </v>
      </c>
      <c r="AS10" s="56" t="str">
        <f>'20 Spieler'!$O$43</f>
        <v> </v>
      </c>
      <c r="AT10" s="56" t="str">
        <f>'20 Spieler'!$Q$18</f>
        <v> </v>
      </c>
      <c r="AU10" s="56" t="str">
        <f>'20 Spieler'!$G$44</f>
        <v> </v>
      </c>
      <c r="AV10" s="56" t="str">
        <f>'20 Spieler'!$I$17</f>
        <v> </v>
      </c>
      <c r="AW10" s="56" t="str">
        <f>'20 Spieler'!$AM$31</f>
        <v> </v>
      </c>
      <c r="AX10" s="56" t="str">
        <f>'20 Spieler'!$AG$58</f>
        <v> </v>
      </c>
      <c r="AY10" s="56" t="str">
        <f>'20 Spieler'!$AE$32</f>
        <v> </v>
      </c>
      <c r="AZ10" s="56" t="str">
        <f>'20 Spieler'!$Y$57</f>
        <v> </v>
      </c>
      <c r="BA10" s="30" t="str">
        <f>'20 Spieler'!$AM$40</f>
        <v> </v>
      </c>
      <c r="BB10" s="73" t="str">
        <f t="shared" si="24"/>
        <v> </v>
      </c>
      <c r="BC10" s="71">
        <f t="shared" si="25"/>
      </c>
      <c r="BD10" s="60" t="str">
        <f>IF('Tabelle 20'!$C$5=AG10,'Tabelle 20'!$R$5,"")&amp;IF('Tabelle 20'!$C$6=AG10,'Tabelle 20'!$R$6,"")&amp;IF('Tabelle 20'!$C$7=AG10,'Tabelle 20'!$R$7,"")&amp;IF('Tabelle 20'!$C$8=AG10,'Tabelle 20'!$R$8,"")&amp;IF('Tabelle 20'!$C$9=AG10,'Tabelle 20'!$R$9,"")&amp;IF('Tabelle 20'!$C$10=AG10,'Tabelle 20'!$R$10,"")&amp;IF('Tabelle 20'!$C$11=AG10,'Tabelle 20'!$R$11,"")&amp;IF('Tabelle 20'!$C$12=AG10,'Tabelle 20'!$R$12,"")&amp;IF('Tabelle 20'!$C$13=AG10,'Tabelle 20'!$R$13,"")&amp;IF('Tabelle 20'!$C$14=AG10,'Tabelle 20'!$R$14,"")&amp;IF('Tabelle 20'!$C$15=AG10,'Tabelle 20'!$R$15,"")&amp;IF('Tabelle 20'!$C$16=AG10,'Tabelle 20'!$R$16,"")&amp;IF('Tabelle 20'!$C$17=AG10,'Tabelle 20'!$R$17,"")&amp;IF('Tabelle 20'!$C$18=AG10,'Tabelle 20'!$R$18,"")&amp;IF('Tabelle 20'!$C$19=AG10,'Tabelle 20'!$R$19,"")&amp;IF('Tabelle 20'!$C$20=AG10,'Tabelle 20'!$R$20,"")&amp;IF('Tabelle 20'!$C$21=AG10,'Tabelle 20'!$R$21,"")&amp;IF('Tabelle 20'!$C$22=AG10,'Tabelle 20'!$R$22,"")&amp;IF('Tabelle 20'!$C$23=AG10,'Tabelle 20'!$R$23,"")&amp;IF('Tabelle 20'!$C$24=AG10,'Tabelle 20'!$R$24,"")</f>
        <v> </v>
      </c>
      <c r="BE10" s="126">
        <v>6</v>
      </c>
      <c r="BF10" s="3">
        <f>'Tabelle 20'!N10</f>
        <v>0.15</v>
      </c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2:83" ht="24.75" customHeight="1">
      <c r="B11" s="10">
        <v>7</v>
      </c>
      <c r="C11" s="26" t="str">
        <f t="shared" si="0"/>
        <v>Spieler 7</v>
      </c>
      <c r="D11" s="56" t="str">
        <f t="shared" si="1"/>
        <v> </v>
      </c>
      <c r="E11" s="56" t="str">
        <f t="shared" si="2"/>
        <v> </v>
      </c>
      <c r="F11" s="56" t="str">
        <f t="shared" si="3"/>
        <v> </v>
      </c>
      <c r="G11" s="56" t="str">
        <f t="shared" si="4"/>
        <v> </v>
      </c>
      <c r="H11" s="56" t="str">
        <f t="shared" si="5"/>
        <v> </v>
      </c>
      <c r="I11" s="56" t="str">
        <f t="shared" si="6"/>
        <v> </v>
      </c>
      <c r="J11" s="66" t="str">
        <f t="shared" si="7"/>
        <v> </v>
      </c>
      <c r="K11" s="56" t="str">
        <f t="shared" si="8"/>
        <v> </v>
      </c>
      <c r="L11" s="56" t="str">
        <f t="shared" si="9"/>
        <v> </v>
      </c>
      <c r="M11" s="56" t="str">
        <f t="shared" si="10"/>
        <v> </v>
      </c>
      <c r="N11" s="56" t="str">
        <f t="shared" si="11"/>
        <v> </v>
      </c>
      <c r="O11" s="56" t="str">
        <f t="shared" si="12"/>
        <v> </v>
      </c>
      <c r="P11" s="56" t="str">
        <f t="shared" si="13"/>
        <v> </v>
      </c>
      <c r="Q11" s="56" t="str">
        <f t="shared" si="14"/>
        <v> </v>
      </c>
      <c r="R11" s="56" t="str">
        <f t="shared" si="15"/>
        <v> </v>
      </c>
      <c r="S11" s="56" t="str">
        <f t="shared" si="16"/>
        <v> </v>
      </c>
      <c r="T11" s="56" t="str">
        <f t="shared" si="17"/>
        <v> </v>
      </c>
      <c r="U11" s="56" t="str">
        <f t="shared" si="18"/>
        <v> </v>
      </c>
      <c r="V11" s="56" t="str">
        <f t="shared" si="19"/>
        <v> </v>
      </c>
      <c r="W11" s="30" t="str">
        <f t="shared" si="20"/>
        <v> </v>
      </c>
      <c r="X11" s="73" t="str">
        <f t="shared" si="21"/>
        <v> </v>
      </c>
      <c r="Y11" s="71">
        <f t="shared" si="22"/>
      </c>
      <c r="Z11" s="60" t="str">
        <f t="shared" si="23"/>
        <v> </v>
      </c>
      <c r="AA11" s="2"/>
      <c r="AB11" s="2"/>
      <c r="AC11" s="2"/>
      <c r="AD11" s="2"/>
      <c r="AE11" s="2">
        <f t="shared" si="26"/>
        <v>7</v>
      </c>
      <c r="AF11" s="10">
        <v>7</v>
      </c>
      <c r="AG11" s="26" t="str">
        <f>Eingabe!$C$12</f>
        <v>Spieler 7</v>
      </c>
      <c r="AH11" s="56" t="str">
        <f>'20 Spieler'!$Q$57</f>
        <v> </v>
      </c>
      <c r="AI11" s="56" t="str">
        <f>'20 Spieler'!$O$33</f>
        <v> </v>
      </c>
      <c r="AJ11" s="56" t="str">
        <f>'20 Spieler'!$I$56</f>
        <v> </v>
      </c>
      <c r="AK11" s="56" t="str">
        <f>'20 Spieler'!$G$34</f>
        <v> </v>
      </c>
      <c r="AL11" s="56" t="str">
        <f>'20 Spieler'!$AO$41</f>
        <v> </v>
      </c>
      <c r="AM11" s="56" t="str">
        <f>'20 Spieler'!$AM$21</f>
        <v> </v>
      </c>
      <c r="AN11" s="66" t="s">
        <v>28</v>
      </c>
      <c r="AO11" s="56" t="str">
        <f>'20 Spieler'!$AG$21</f>
        <v> </v>
      </c>
      <c r="AP11" s="56" t="str">
        <f>'20 Spieler'!$W$41</f>
        <v> </v>
      </c>
      <c r="AQ11" s="56" t="str">
        <f>'20 Spieler'!$Y$20</f>
        <v> </v>
      </c>
      <c r="AR11" s="56" t="str">
        <f>'20 Spieler'!$O$42</f>
        <v> </v>
      </c>
      <c r="AS11" s="56" t="str">
        <f>'20 Spieler'!$Q$19</f>
        <v> </v>
      </c>
      <c r="AT11" s="56" t="str">
        <f>'20 Spieler'!$G$43</f>
        <v> </v>
      </c>
      <c r="AU11" s="56" t="str">
        <f>'20 Spieler'!$I$18</f>
        <v> </v>
      </c>
      <c r="AV11" s="56" t="str">
        <f>'20 Spieler'!$AM$30</f>
        <v> </v>
      </c>
      <c r="AW11" s="56" t="str">
        <f>'20 Spieler'!$AG$59</f>
        <v> </v>
      </c>
      <c r="AX11" s="56" t="str">
        <f>'20 Spieler'!$AE$31</f>
        <v> </v>
      </c>
      <c r="AY11" s="56" t="str">
        <f>'20 Spieler'!$Y$58</f>
        <v> </v>
      </c>
      <c r="AZ11" s="56" t="str">
        <f>'20 Spieler'!$W$32</f>
        <v> </v>
      </c>
      <c r="BA11" s="30" t="str">
        <f>'20 Spieler'!$AE$40</f>
        <v> </v>
      </c>
      <c r="BB11" s="73" t="str">
        <f t="shared" si="24"/>
        <v> </v>
      </c>
      <c r="BC11" s="71">
        <f t="shared" si="25"/>
      </c>
      <c r="BD11" s="60" t="str">
        <f>IF('Tabelle 20'!$C$5=AG11,'Tabelle 20'!$R$5,"")&amp;IF('Tabelle 20'!$C$6=AG11,'Tabelle 20'!$R$6,"")&amp;IF('Tabelle 20'!$C$7=AG11,'Tabelle 20'!$R$7,"")&amp;IF('Tabelle 20'!$C$8=AG11,'Tabelle 20'!$R$8,"")&amp;IF('Tabelle 20'!$C$9=AG11,'Tabelle 20'!$R$9,"")&amp;IF('Tabelle 20'!$C$10=AG11,'Tabelle 20'!$R$10,"")&amp;IF('Tabelle 20'!$C$11=AG11,'Tabelle 20'!$R$11,"")&amp;IF('Tabelle 20'!$C$12=AG11,'Tabelle 20'!$R$12,"")&amp;IF('Tabelle 20'!$C$13=AG11,'Tabelle 20'!$R$13,"")&amp;IF('Tabelle 20'!$C$14=AG11,'Tabelle 20'!$R$14,"")&amp;IF('Tabelle 20'!$C$15=AG11,'Tabelle 20'!$R$15,"")&amp;IF('Tabelle 20'!$C$16=AG11,'Tabelle 20'!$R$16,"")&amp;IF('Tabelle 20'!$C$17=AG11,'Tabelle 20'!$R$17,"")&amp;IF('Tabelle 20'!$C$18=AG11,'Tabelle 20'!$R$18,"")&amp;IF('Tabelle 20'!$C$19=AG11,'Tabelle 20'!$R$19,"")&amp;IF('Tabelle 20'!$C$20=AG11,'Tabelle 20'!$R$20,"")&amp;IF('Tabelle 20'!$C$21=AG11,'Tabelle 20'!$R$21,"")&amp;IF('Tabelle 20'!$C$22=AG11,'Tabelle 20'!$R$22,"")&amp;IF('Tabelle 20'!$C$23=AG11,'Tabelle 20'!$R$23,"")&amp;IF('Tabelle 20'!$C$24=AG11,'Tabelle 20'!$R$24,"")</f>
        <v> </v>
      </c>
      <c r="BE11" s="126">
        <v>7</v>
      </c>
      <c r="BF11" s="3">
        <f>'Tabelle 20'!N11</f>
        <v>0.14</v>
      </c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2:83" ht="24.75" customHeight="1">
      <c r="B12" s="10">
        <v>8</v>
      </c>
      <c r="C12" s="26" t="str">
        <f t="shared" si="0"/>
        <v>Spieler 8</v>
      </c>
      <c r="D12" s="56" t="str">
        <f t="shared" si="1"/>
        <v> </v>
      </c>
      <c r="E12" s="56" t="str">
        <f t="shared" si="2"/>
        <v> </v>
      </c>
      <c r="F12" s="56" t="str">
        <f t="shared" si="3"/>
        <v> </v>
      </c>
      <c r="G12" s="56" t="str">
        <f t="shared" si="4"/>
        <v> </v>
      </c>
      <c r="H12" s="56" t="str">
        <f t="shared" si="5"/>
        <v> </v>
      </c>
      <c r="I12" s="56" t="str">
        <f t="shared" si="6"/>
        <v> </v>
      </c>
      <c r="J12" s="56" t="str">
        <f t="shared" si="7"/>
        <v> </v>
      </c>
      <c r="K12" s="66" t="str">
        <f t="shared" si="8"/>
        <v> </v>
      </c>
      <c r="L12" s="56" t="str">
        <f t="shared" si="9"/>
        <v> </v>
      </c>
      <c r="M12" s="56" t="str">
        <f t="shared" si="10"/>
        <v> </v>
      </c>
      <c r="N12" s="56" t="str">
        <f t="shared" si="11"/>
        <v> </v>
      </c>
      <c r="O12" s="56" t="str">
        <f t="shared" si="12"/>
        <v> </v>
      </c>
      <c r="P12" s="56" t="str">
        <f t="shared" si="13"/>
        <v> </v>
      </c>
      <c r="Q12" s="56" t="str">
        <f t="shared" si="14"/>
        <v> </v>
      </c>
      <c r="R12" s="56" t="str">
        <f t="shared" si="15"/>
        <v> </v>
      </c>
      <c r="S12" s="56" t="str">
        <f t="shared" si="16"/>
        <v> </v>
      </c>
      <c r="T12" s="56" t="str">
        <f t="shared" si="17"/>
        <v> </v>
      </c>
      <c r="U12" s="56" t="str">
        <f t="shared" si="18"/>
        <v> </v>
      </c>
      <c r="V12" s="56" t="str">
        <f t="shared" si="19"/>
        <v> </v>
      </c>
      <c r="W12" s="30" t="str">
        <f t="shared" si="20"/>
        <v> </v>
      </c>
      <c r="X12" s="73" t="str">
        <f t="shared" si="21"/>
        <v> </v>
      </c>
      <c r="Y12" s="71">
        <f t="shared" si="22"/>
      </c>
      <c r="Z12" s="60" t="str">
        <f t="shared" si="23"/>
        <v> </v>
      </c>
      <c r="AA12" s="2"/>
      <c r="AB12" s="2"/>
      <c r="AC12" s="2"/>
      <c r="AD12" s="2"/>
      <c r="AE12" s="2">
        <f t="shared" si="26"/>
        <v>8</v>
      </c>
      <c r="AF12" s="10">
        <v>8</v>
      </c>
      <c r="AG12" s="26" t="str">
        <f>Eingabe!$C$13</f>
        <v>Spieler 8</v>
      </c>
      <c r="AH12" s="56" t="str">
        <f>'20 Spieler'!$O$32</f>
        <v> </v>
      </c>
      <c r="AI12" s="56" t="str">
        <f>'20 Spieler'!$I$57</f>
        <v> </v>
      </c>
      <c r="AJ12" s="56" t="str">
        <f>'20 Spieler'!$G$33</f>
        <v> </v>
      </c>
      <c r="AK12" s="56" t="str">
        <f>'20 Spieler'!$AO$42</f>
        <v> </v>
      </c>
      <c r="AL12" s="56" t="str">
        <f>'20 Spieler'!$AM$20</f>
        <v> </v>
      </c>
      <c r="AM12" s="56" t="str">
        <f>'20 Spieler'!$AG$41</f>
        <v> </v>
      </c>
      <c r="AN12" s="56" t="str">
        <f>'20 Spieler'!$AE$21</f>
        <v> </v>
      </c>
      <c r="AO12" s="66" t="s">
        <v>28</v>
      </c>
      <c r="AP12" s="56" t="str">
        <f>'20 Spieler'!$Y$21</f>
        <v> </v>
      </c>
      <c r="AQ12" s="56" t="str">
        <f>'20 Spieler'!$O$41</f>
        <v> </v>
      </c>
      <c r="AR12" s="56" t="str">
        <f>'20 Spieler'!$Q$20</f>
        <v> </v>
      </c>
      <c r="AS12" s="56" t="str">
        <f>'20 Spieler'!$G$42</f>
        <v> </v>
      </c>
      <c r="AT12" s="56" t="str">
        <f>'20 Spieler'!$I$19</f>
        <v> </v>
      </c>
      <c r="AU12" s="56" t="str">
        <f>'20 Spieler'!$AM$29</f>
        <v> </v>
      </c>
      <c r="AV12" s="56" t="str">
        <f>'20 Spieler'!$AG$60</f>
        <v> </v>
      </c>
      <c r="AW12" s="56" t="str">
        <f>'20 Spieler'!$AE$30</f>
        <v> </v>
      </c>
      <c r="AX12" s="56" t="str">
        <f>'20 Spieler'!$Y$59</f>
        <v> </v>
      </c>
      <c r="AY12" s="56" t="str">
        <f>'20 Spieler'!$W$31</f>
        <v> </v>
      </c>
      <c r="AZ12" s="56" t="str">
        <f>'20 Spieler'!$Q$58</f>
        <v> </v>
      </c>
      <c r="BA12" s="30" t="str">
        <f>'20 Spieler'!$W$40</f>
        <v> </v>
      </c>
      <c r="BB12" s="73" t="str">
        <f t="shared" si="24"/>
        <v> </v>
      </c>
      <c r="BC12" s="71">
        <f t="shared" si="25"/>
      </c>
      <c r="BD12" s="60" t="str">
        <f>IF('Tabelle 20'!$C$5=AG12,'Tabelle 20'!$R$5,"")&amp;IF('Tabelle 20'!$C$6=AG12,'Tabelle 20'!$R$6,"")&amp;IF('Tabelle 20'!$C$7=AG12,'Tabelle 20'!$R$7,"")&amp;IF('Tabelle 20'!$C$8=AG12,'Tabelle 20'!$R$8,"")&amp;IF('Tabelle 20'!$C$9=AG12,'Tabelle 20'!$R$9,"")&amp;IF('Tabelle 20'!$C$10=AG12,'Tabelle 20'!$R$10,"")&amp;IF('Tabelle 20'!$C$11=AG12,'Tabelle 20'!$R$11,"")&amp;IF('Tabelle 20'!$C$12=AG12,'Tabelle 20'!$R$12,"")&amp;IF('Tabelle 20'!$C$13=AG12,'Tabelle 20'!$R$13,"")&amp;IF('Tabelle 20'!$C$14=AG12,'Tabelle 20'!$R$14,"")&amp;IF('Tabelle 20'!$C$15=AG12,'Tabelle 20'!$R$15,"")&amp;IF('Tabelle 20'!$C$16=AG12,'Tabelle 20'!$R$16,"")&amp;IF('Tabelle 20'!$C$17=AG12,'Tabelle 20'!$R$17,"")&amp;IF('Tabelle 20'!$C$18=AG12,'Tabelle 20'!$R$18,"")&amp;IF('Tabelle 20'!$C$19=AG12,'Tabelle 20'!$R$19,"")&amp;IF('Tabelle 20'!$C$20=AG12,'Tabelle 20'!$R$20,"")&amp;IF('Tabelle 20'!$C$21=AG12,'Tabelle 20'!$R$21,"")&amp;IF('Tabelle 20'!$C$22=AG12,'Tabelle 20'!$R$22,"")&amp;IF('Tabelle 20'!$C$23=AG12,'Tabelle 20'!$R$23,"")&amp;IF('Tabelle 20'!$C$24=AG12,'Tabelle 20'!$R$24,"")</f>
        <v> </v>
      </c>
      <c r="BE12" s="126">
        <v>8</v>
      </c>
      <c r="BF12" s="3">
        <f>'Tabelle 20'!N12</f>
        <v>0.13</v>
      </c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2:83" ht="24.75" customHeight="1">
      <c r="B13" s="10">
        <v>9</v>
      </c>
      <c r="C13" s="26" t="str">
        <f t="shared" si="0"/>
        <v>Spieler 9</v>
      </c>
      <c r="D13" s="56" t="str">
        <f t="shared" si="1"/>
        <v> </v>
      </c>
      <c r="E13" s="56" t="str">
        <f t="shared" si="2"/>
        <v> </v>
      </c>
      <c r="F13" s="56" t="str">
        <f t="shared" si="3"/>
        <v> </v>
      </c>
      <c r="G13" s="56" t="str">
        <f t="shared" si="4"/>
        <v> </v>
      </c>
      <c r="H13" s="56" t="str">
        <f t="shared" si="5"/>
        <v> </v>
      </c>
      <c r="I13" s="56" t="str">
        <f t="shared" si="6"/>
        <v> </v>
      </c>
      <c r="J13" s="56" t="str">
        <f t="shared" si="7"/>
        <v> </v>
      </c>
      <c r="K13" s="56" t="str">
        <f t="shared" si="8"/>
        <v> </v>
      </c>
      <c r="L13" s="66" t="str">
        <f t="shared" si="9"/>
        <v> </v>
      </c>
      <c r="M13" s="56" t="str">
        <f t="shared" si="10"/>
        <v> </v>
      </c>
      <c r="N13" s="56" t="str">
        <f t="shared" si="11"/>
        <v> </v>
      </c>
      <c r="O13" s="56" t="str">
        <f t="shared" si="12"/>
        <v> </v>
      </c>
      <c r="P13" s="56" t="str">
        <f t="shared" si="13"/>
        <v> </v>
      </c>
      <c r="Q13" s="56" t="str">
        <f t="shared" si="14"/>
        <v> </v>
      </c>
      <c r="R13" s="56" t="str">
        <f t="shared" si="15"/>
        <v> </v>
      </c>
      <c r="S13" s="56" t="str">
        <f t="shared" si="16"/>
        <v> </v>
      </c>
      <c r="T13" s="56" t="str">
        <f t="shared" si="17"/>
        <v> </v>
      </c>
      <c r="U13" s="56" t="str">
        <f t="shared" si="18"/>
        <v> </v>
      </c>
      <c r="V13" s="56" t="str">
        <f t="shared" si="19"/>
        <v> </v>
      </c>
      <c r="W13" s="30" t="str">
        <f t="shared" si="20"/>
        <v> </v>
      </c>
      <c r="X13" s="73" t="str">
        <f t="shared" si="21"/>
        <v> </v>
      </c>
      <c r="Y13" s="71">
        <f t="shared" si="22"/>
      </c>
      <c r="Z13" s="60" t="str">
        <f t="shared" si="23"/>
        <v> </v>
      </c>
      <c r="AA13" s="2"/>
      <c r="AB13" s="2"/>
      <c r="AC13" s="2"/>
      <c r="AD13" s="2"/>
      <c r="AE13" s="2">
        <f t="shared" si="26"/>
        <v>9</v>
      </c>
      <c r="AF13" s="10">
        <v>9</v>
      </c>
      <c r="AG13" s="26" t="str">
        <f>Eingabe!$C$14</f>
        <v>Spieler 9</v>
      </c>
      <c r="AH13" s="56" t="str">
        <f>'20 Spieler'!$I$58</f>
        <v> </v>
      </c>
      <c r="AI13" s="56" t="str">
        <f>'20 Spieler'!$G$32</f>
        <v> </v>
      </c>
      <c r="AJ13" s="56" t="str">
        <f>'20 Spieler'!$AO$43</f>
        <v> </v>
      </c>
      <c r="AK13" s="56" t="str">
        <f>'20 Spieler'!$AM$19</f>
        <v> </v>
      </c>
      <c r="AL13" s="56" t="str">
        <f>'20 Spieler'!$AG$42</f>
        <v> </v>
      </c>
      <c r="AM13" s="56" t="str">
        <f>'20 Spieler'!$AE$20</f>
        <v> </v>
      </c>
      <c r="AN13" s="56" t="str">
        <f>'20 Spieler'!$Y$41</f>
        <v> </v>
      </c>
      <c r="AO13" s="56" t="str">
        <f>'20 Spieler'!$W$21</f>
        <v> </v>
      </c>
      <c r="AP13" s="66" t="s">
        <v>28</v>
      </c>
      <c r="AQ13" s="56" t="str">
        <f>'20 Spieler'!$Q$21</f>
        <v> </v>
      </c>
      <c r="AR13" s="56" t="str">
        <f>'20 Spieler'!$G$41</f>
        <v> </v>
      </c>
      <c r="AS13" s="56" t="str">
        <f>'20 Spieler'!$I$20</f>
        <v> </v>
      </c>
      <c r="AT13" s="56" t="str">
        <f>'20 Spieler'!$AM$28</f>
        <v> </v>
      </c>
      <c r="AU13" s="56" t="str">
        <f>'20 Spieler'!$AG$61</f>
        <v> </v>
      </c>
      <c r="AV13" s="56" t="str">
        <f>'20 Spieler'!$AE$29</f>
        <v> </v>
      </c>
      <c r="AW13" s="56" t="str">
        <f>'20 Spieler'!$Y$60</f>
        <v> </v>
      </c>
      <c r="AX13" s="56" t="str">
        <f>'20 Spieler'!$W$30</f>
        <v> </v>
      </c>
      <c r="AY13" s="56" t="str">
        <f>'20 Spieler'!$Q$59</f>
        <v> </v>
      </c>
      <c r="AZ13" s="56" t="str">
        <f>'20 Spieler'!$O$31</f>
        <v> </v>
      </c>
      <c r="BA13" s="30" t="str">
        <f>'20 Spieler'!$O$40</f>
        <v> </v>
      </c>
      <c r="BB13" s="73" t="str">
        <f t="shared" si="24"/>
        <v> </v>
      </c>
      <c r="BC13" s="71">
        <f t="shared" si="25"/>
      </c>
      <c r="BD13" s="60" t="str">
        <f>IF('Tabelle 20'!$C$5=AG13,'Tabelle 20'!$R$5,"")&amp;IF('Tabelle 20'!$C$6=AG13,'Tabelle 20'!$R$6,"")&amp;IF('Tabelle 20'!$C$7=AG13,'Tabelle 20'!$R$7,"")&amp;IF('Tabelle 20'!$C$8=AG13,'Tabelle 20'!$R$8,"")&amp;IF('Tabelle 20'!$C$9=AG13,'Tabelle 20'!$R$9,"")&amp;IF('Tabelle 20'!$C$10=AG13,'Tabelle 20'!$R$10,"")&amp;IF('Tabelle 20'!$C$11=AG13,'Tabelle 20'!$R$11,"")&amp;IF('Tabelle 20'!$C$12=AG13,'Tabelle 20'!$R$12,"")&amp;IF('Tabelle 20'!$C$13=AG13,'Tabelle 20'!$R$13,"")&amp;IF('Tabelle 20'!$C$14=AG13,'Tabelle 20'!$R$14,"")&amp;IF('Tabelle 20'!$C$15=AG13,'Tabelle 20'!$R$15,"")&amp;IF('Tabelle 20'!$C$16=AG13,'Tabelle 20'!$R$16,"")&amp;IF('Tabelle 20'!$C$17=AG13,'Tabelle 20'!$R$17,"")&amp;IF('Tabelle 20'!$C$18=AG13,'Tabelle 20'!$R$18,"")&amp;IF('Tabelle 20'!$C$19=AG13,'Tabelle 20'!$R$19,"")&amp;IF('Tabelle 20'!$C$20=AG13,'Tabelle 20'!$R$20,"")&amp;IF('Tabelle 20'!$C$21=AG13,'Tabelle 20'!$R$21,"")&amp;IF('Tabelle 20'!$C$22=AG13,'Tabelle 20'!$R$22,"")&amp;IF('Tabelle 20'!$C$23=AG13,'Tabelle 20'!$R$23,"")&amp;IF('Tabelle 20'!$C$24=AG13,'Tabelle 20'!$R$24,"")</f>
        <v> </v>
      </c>
      <c r="BE13" s="126">
        <v>9</v>
      </c>
      <c r="BF13" s="3">
        <f>'Tabelle 20'!N13</f>
        <v>0.12</v>
      </c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2:83" ht="24.75" customHeight="1">
      <c r="B14" s="10">
        <v>10</v>
      </c>
      <c r="C14" s="26" t="str">
        <f t="shared" si="0"/>
        <v>Spieler 10</v>
      </c>
      <c r="D14" s="56" t="str">
        <f t="shared" si="1"/>
        <v> </v>
      </c>
      <c r="E14" s="56" t="str">
        <f t="shared" si="2"/>
        <v> </v>
      </c>
      <c r="F14" s="56" t="str">
        <f t="shared" si="3"/>
        <v> </v>
      </c>
      <c r="G14" s="56" t="str">
        <f t="shared" si="4"/>
        <v> </v>
      </c>
      <c r="H14" s="56" t="str">
        <f t="shared" si="5"/>
        <v> </v>
      </c>
      <c r="I14" s="56" t="str">
        <f t="shared" si="6"/>
        <v> </v>
      </c>
      <c r="J14" s="56" t="str">
        <f t="shared" si="7"/>
        <v> </v>
      </c>
      <c r="K14" s="56" t="str">
        <f t="shared" si="8"/>
        <v> </v>
      </c>
      <c r="L14" s="56" t="str">
        <f t="shared" si="9"/>
        <v> </v>
      </c>
      <c r="M14" s="66" t="str">
        <f t="shared" si="10"/>
        <v> </v>
      </c>
      <c r="N14" s="56" t="str">
        <f t="shared" si="11"/>
        <v> </v>
      </c>
      <c r="O14" s="56" t="str">
        <f t="shared" si="12"/>
        <v> </v>
      </c>
      <c r="P14" s="56" t="str">
        <f t="shared" si="13"/>
        <v> </v>
      </c>
      <c r="Q14" s="56" t="str">
        <f t="shared" si="14"/>
        <v> </v>
      </c>
      <c r="R14" s="56" t="str">
        <f t="shared" si="15"/>
        <v> </v>
      </c>
      <c r="S14" s="56" t="str">
        <f t="shared" si="16"/>
        <v> </v>
      </c>
      <c r="T14" s="56" t="str">
        <f t="shared" si="17"/>
        <v> </v>
      </c>
      <c r="U14" s="56" t="str">
        <f t="shared" si="18"/>
        <v> </v>
      </c>
      <c r="V14" s="56" t="str">
        <f t="shared" si="19"/>
        <v> </v>
      </c>
      <c r="W14" s="30" t="str">
        <f t="shared" si="20"/>
        <v> </v>
      </c>
      <c r="X14" s="73" t="str">
        <f t="shared" si="21"/>
        <v> </v>
      </c>
      <c r="Y14" s="71">
        <f t="shared" si="22"/>
      </c>
      <c r="Z14" s="60" t="str">
        <f t="shared" si="23"/>
        <v> </v>
      </c>
      <c r="AA14" s="2"/>
      <c r="AB14" s="2"/>
      <c r="AC14" s="2"/>
      <c r="AD14" s="2"/>
      <c r="AE14" s="2">
        <f t="shared" si="26"/>
        <v>10</v>
      </c>
      <c r="AF14" s="10">
        <v>10</v>
      </c>
      <c r="AG14" s="26" t="str">
        <f>Eingabe!$C$15</f>
        <v>Spieler 10</v>
      </c>
      <c r="AH14" s="56" t="str">
        <f>'20 Spieler'!$G$31</f>
        <v> </v>
      </c>
      <c r="AI14" s="56" t="str">
        <f>'20 Spieler'!$AO$44</f>
        <v> </v>
      </c>
      <c r="AJ14" s="56" t="str">
        <f>'20 Spieler'!$AM$18</f>
        <v> </v>
      </c>
      <c r="AK14" s="56" t="str">
        <f>'20 Spieler'!$AG$43</f>
        <v> </v>
      </c>
      <c r="AL14" s="56" t="str">
        <f>'20 Spieler'!$AE$19</f>
        <v> </v>
      </c>
      <c r="AM14" s="56" t="str">
        <f>'20 Spieler'!$Y$42</f>
        <v> </v>
      </c>
      <c r="AN14" s="56" t="str">
        <f>'20 Spieler'!$W$20</f>
        <v> </v>
      </c>
      <c r="AO14" s="56" t="str">
        <f>'20 Spieler'!$Q$41</f>
        <v> </v>
      </c>
      <c r="AP14" s="56" t="str">
        <f>'20 Spieler'!$O$21</f>
        <v> </v>
      </c>
      <c r="AQ14" s="66" t="s">
        <v>28</v>
      </c>
      <c r="AR14" s="56" t="str">
        <f>'20 Spieler'!$I$21</f>
        <v> </v>
      </c>
      <c r="AS14" s="56" t="str">
        <f>'20 Spieler'!$AM$27</f>
        <v> </v>
      </c>
      <c r="AT14" s="56" t="str">
        <f>'20 Spieler'!$AG$62</f>
        <v> </v>
      </c>
      <c r="AU14" s="56" t="str">
        <f>'20 Spieler'!$AE$28</f>
        <v> </v>
      </c>
      <c r="AV14" s="56" t="str">
        <f>'20 Spieler'!$Y$61</f>
        <v> </v>
      </c>
      <c r="AW14" s="56" t="str">
        <f>'20 Spieler'!$W$29</f>
        <v> </v>
      </c>
      <c r="AX14" s="56" t="str">
        <f>'20 Spieler'!$Q$60</f>
        <v> </v>
      </c>
      <c r="AY14" s="56" t="str">
        <f>'20 Spieler'!$O$30</f>
        <v> </v>
      </c>
      <c r="AZ14" s="56" t="str">
        <f>'20 Spieler'!$I$59</f>
        <v> </v>
      </c>
      <c r="BA14" s="30" t="str">
        <f>'20 Spieler'!$G$40</f>
        <v> </v>
      </c>
      <c r="BB14" s="73" t="str">
        <f t="shared" si="24"/>
        <v> </v>
      </c>
      <c r="BC14" s="71">
        <f t="shared" si="25"/>
      </c>
      <c r="BD14" s="60" t="str">
        <f>IF('Tabelle 20'!$C$5=AG14,'Tabelle 20'!$R$5,"")&amp;IF('Tabelle 20'!$C$6=AG14,'Tabelle 20'!$R$6,"")&amp;IF('Tabelle 20'!$C$7=AG14,'Tabelle 20'!$R$7,"")&amp;IF('Tabelle 20'!$C$8=AG14,'Tabelle 20'!$R$8,"")&amp;IF('Tabelle 20'!$C$9=AG14,'Tabelle 20'!$R$9,"")&amp;IF('Tabelle 20'!$C$10=AG14,'Tabelle 20'!$R$10,"")&amp;IF('Tabelle 20'!$C$11=AG14,'Tabelle 20'!$R$11,"")&amp;IF('Tabelle 20'!$C$12=AG14,'Tabelle 20'!$R$12,"")&amp;IF('Tabelle 20'!$C$13=AG14,'Tabelle 20'!$R$13,"")&amp;IF('Tabelle 20'!$C$14=AG14,'Tabelle 20'!$R$14,"")&amp;IF('Tabelle 20'!$C$15=AG14,'Tabelle 20'!$R$15,"")&amp;IF('Tabelle 20'!$C$16=AG14,'Tabelle 20'!$R$16,"")&amp;IF('Tabelle 20'!$C$17=AG14,'Tabelle 20'!$R$17,"")&amp;IF('Tabelle 20'!$C$18=AG14,'Tabelle 20'!$R$18,"")&amp;IF('Tabelle 20'!$C$19=AG14,'Tabelle 20'!$R$19,"")&amp;IF('Tabelle 20'!$C$20=AG14,'Tabelle 20'!$R$20,"")&amp;IF('Tabelle 20'!$C$21=AG14,'Tabelle 20'!$R$21,"")&amp;IF('Tabelle 20'!$C$22=AG14,'Tabelle 20'!$R$22,"")&amp;IF('Tabelle 20'!$C$23=AG14,'Tabelle 20'!$R$23,"")&amp;IF('Tabelle 20'!$C$24=AG14,'Tabelle 20'!$R$24,"")</f>
        <v> </v>
      </c>
      <c r="BE14" s="126">
        <v>10</v>
      </c>
      <c r="BF14" s="3">
        <f>'Tabelle 20'!N14</f>
        <v>0.11</v>
      </c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2:83" ht="24.75" customHeight="1">
      <c r="B15" s="10">
        <v>11</v>
      </c>
      <c r="C15" s="26" t="str">
        <f t="shared" si="0"/>
        <v>Spieler 11</v>
      </c>
      <c r="D15" s="56" t="str">
        <f t="shared" si="1"/>
        <v> </v>
      </c>
      <c r="E15" s="56" t="str">
        <f t="shared" si="2"/>
        <v> </v>
      </c>
      <c r="F15" s="56" t="str">
        <f t="shared" si="3"/>
        <v> </v>
      </c>
      <c r="G15" s="56" t="str">
        <f t="shared" si="4"/>
        <v> </v>
      </c>
      <c r="H15" s="56" t="str">
        <f t="shared" si="5"/>
        <v> </v>
      </c>
      <c r="I15" s="56" t="str">
        <f t="shared" si="6"/>
        <v> </v>
      </c>
      <c r="J15" s="56" t="str">
        <f t="shared" si="7"/>
        <v> </v>
      </c>
      <c r="K15" s="56" t="str">
        <f t="shared" si="8"/>
        <v> </v>
      </c>
      <c r="L15" s="56" t="str">
        <f t="shared" si="9"/>
        <v> </v>
      </c>
      <c r="M15" s="56" t="str">
        <f t="shared" si="10"/>
        <v> </v>
      </c>
      <c r="N15" s="66" t="str">
        <f t="shared" si="11"/>
        <v> </v>
      </c>
      <c r="O15" s="56" t="str">
        <f t="shared" si="12"/>
        <v> </v>
      </c>
      <c r="P15" s="56" t="str">
        <f t="shared" si="13"/>
        <v> </v>
      </c>
      <c r="Q15" s="56" t="str">
        <f t="shared" si="14"/>
        <v> </v>
      </c>
      <c r="R15" s="56" t="str">
        <f t="shared" si="15"/>
        <v> </v>
      </c>
      <c r="S15" s="56" t="str">
        <f t="shared" si="16"/>
        <v> </v>
      </c>
      <c r="T15" s="56" t="str">
        <f t="shared" si="17"/>
        <v> </v>
      </c>
      <c r="U15" s="56" t="str">
        <f t="shared" si="18"/>
        <v> </v>
      </c>
      <c r="V15" s="56" t="str">
        <f t="shared" si="19"/>
        <v> </v>
      </c>
      <c r="W15" s="30" t="str">
        <f t="shared" si="20"/>
        <v> </v>
      </c>
      <c r="X15" s="73" t="str">
        <f t="shared" si="21"/>
        <v> </v>
      </c>
      <c r="Y15" s="71">
        <f t="shared" si="22"/>
      </c>
      <c r="Z15" s="60" t="str">
        <f t="shared" si="23"/>
        <v> </v>
      </c>
      <c r="AA15" s="2"/>
      <c r="AB15" s="2"/>
      <c r="AC15" s="2"/>
      <c r="AD15" s="2"/>
      <c r="AE15" s="2">
        <f t="shared" si="26"/>
        <v>11</v>
      </c>
      <c r="AF15" s="10">
        <v>11</v>
      </c>
      <c r="AG15" s="26" t="str">
        <f>Eingabe!$G$6</f>
        <v>Spieler 11</v>
      </c>
      <c r="AH15" s="56" t="str">
        <f>'20 Spieler'!$AO$45</f>
        <v> </v>
      </c>
      <c r="AI15" s="56" t="str">
        <f>'20 Spieler'!$AM$17</f>
        <v> </v>
      </c>
      <c r="AJ15" s="56" t="str">
        <f>'20 Spieler'!$AG$44</f>
        <v> </v>
      </c>
      <c r="AK15" s="56" t="str">
        <f>'20 Spieler'!$AE$18</f>
        <v> </v>
      </c>
      <c r="AL15" s="56" t="str">
        <f>'20 Spieler'!$Y$43</f>
        <v> </v>
      </c>
      <c r="AM15" s="56" t="str">
        <f>'20 Spieler'!$W$19</f>
        <v> </v>
      </c>
      <c r="AN15" s="56" t="str">
        <f>'20 Spieler'!$Q$42</f>
        <v> </v>
      </c>
      <c r="AO15" s="56" t="str">
        <f>'20 Spieler'!$O$20</f>
        <v> </v>
      </c>
      <c r="AP15" s="56" t="str">
        <f>'20 Spieler'!$I$41</f>
        <v> </v>
      </c>
      <c r="AQ15" s="56" t="str">
        <f>'20 Spieler'!$G$21</f>
        <v> </v>
      </c>
      <c r="AR15" s="66" t="s">
        <v>28</v>
      </c>
      <c r="AS15" s="56" t="str">
        <f>'20 Spieler'!$AG$63</f>
        <v> </v>
      </c>
      <c r="AT15" s="56" t="str">
        <f>'20 Spieler'!$AE$27</f>
        <v> </v>
      </c>
      <c r="AU15" s="56" t="str">
        <f>'20 Spieler'!$Y$62</f>
        <v> </v>
      </c>
      <c r="AV15" s="56" t="str">
        <f>'20 Spieler'!$W$28</f>
        <v> </v>
      </c>
      <c r="AW15" s="56" t="str">
        <f>'20 Spieler'!$Q$61</f>
        <v> </v>
      </c>
      <c r="AX15" s="56" t="str">
        <f>'20 Spieler'!$O$29</f>
        <v> </v>
      </c>
      <c r="AY15" s="56" t="str">
        <f>'20 Spieler'!$I$60</f>
        <v> </v>
      </c>
      <c r="AZ15" s="56" t="str">
        <f>'20 Spieler'!$G$30</f>
        <v> </v>
      </c>
      <c r="BA15" s="30" t="str">
        <f>'20 Spieler'!$AM$26</f>
        <v> </v>
      </c>
      <c r="BB15" s="73" t="str">
        <f t="shared" si="24"/>
        <v> </v>
      </c>
      <c r="BC15" s="71">
        <f t="shared" si="25"/>
      </c>
      <c r="BD15" s="60" t="str">
        <f>IF('Tabelle 20'!$C$5=AG15,'Tabelle 20'!$R$5,"")&amp;IF('Tabelle 20'!$C$6=AG15,'Tabelle 20'!$R$6,"")&amp;IF('Tabelle 20'!$C$7=AG15,'Tabelle 20'!$R$7,"")&amp;IF('Tabelle 20'!$C$8=AG15,'Tabelle 20'!$R$8,"")&amp;IF('Tabelle 20'!$C$9=AG15,'Tabelle 20'!$R$9,"")&amp;IF('Tabelle 20'!$C$10=AG15,'Tabelle 20'!$R$10,"")&amp;IF('Tabelle 20'!$C$11=AG15,'Tabelle 20'!$R$11,"")&amp;IF('Tabelle 20'!$C$12=AG15,'Tabelle 20'!$R$12,"")&amp;IF('Tabelle 20'!$C$13=AG15,'Tabelle 20'!$R$13,"")&amp;IF('Tabelle 20'!$C$14=AG15,'Tabelle 20'!$R$14,"")&amp;IF('Tabelle 20'!$C$15=AG15,'Tabelle 20'!$R$15,"")&amp;IF('Tabelle 20'!$C$16=AG15,'Tabelle 20'!$R$16,"")&amp;IF('Tabelle 20'!$C$17=AG15,'Tabelle 20'!$R$17,"")&amp;IF('Tabelle 20'!$C$18=AG15,'Tabelle 20'!$R$18,"")&amp;IF('Tabelle 20'!$C$19=AG15,'Tabelle 20'!$R$19,"")&amp;IF('Tabelle 20'!$C$20=AG15,'Tabelle 20'!$R$20,"")&amp;IF('Tabelle 20'!$C$21=AG15,'Tabelle 20'!$R$21,"")&amp;IF('Tabelle 20'!$C$22=AG15,'Tabelle 20'!$R$22,"")&amp;IF('Tabelle 20'!$C$23=AG15,'Tabelle 20'!$R$23,"")&amp;IF('Tabelle 20'!$C$24=AG15,'Tabelle 20'!$R$24,"")</f>
        <v> </v>
      </c>
      <c r="BE15" s="126">
        <v>11</v>
      </c>
      <c r="BF15" s="3">
        <f>'Tabelle 20'!N15</f>
        <v>0.1</v>
      </c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2:83" ht="24.75" customHeight="1">
      <c r="B16" s="10">
        <v>12</v>
      </c>
      <c r="C16" s="26" t="str">
        <f t="shared" si="0"/>
        <v>Spieler 12</v>
      </c>
      <c r="D16" s="56" t="str">
        <f t="shared" si="1"/>
        <v> </v>
      </c>
      <c r="E16" s="56" t="str">
        <f t="shared" si="2"/>
        <v> </v>
      </c>
      <c r="F16" s="56" t="str">
        <f t="shared" si="3"/>
        <v> </v>
      </c>
      <c r="G16" s="56" t="str">
        <f t="shared" si="4"/>
        <v> </v>
      </c>
      <c r="H16" s="56" t="str">
        <f t="shared" si="5"/>
        <v> </v>
      </c>
      <c r="I16" s="56" t="str">
        <f t="shared" si="6"/>
        <v> </v>
      </c>
      <c r="J16" s="56" t="str">
        <f t="shared" si="7"/>
        <v> </v>
      </c>
      <c r="K16" s="56" t="str">
        <f t="shared" si="8"/>
        <v> </v>
      </c>
      <c r="L16" s="56" t="str">
        <f t="shared" si="9"/>
        <v> </v>
      </c>
      <c r="M16" s="56" t="str">
        <f t="shared" si="10"/>
        <v> </v>
      </c>
      <c r="N16" s="56" t="str">
        <f t="shared" si="11"/>
        <v> </v>
      </c>
      <c r="O16" s="66" t="str">
        <f t="shared" si="12"/>
        <v> </v>
      </c>
      <c r="P16" s="56" t="str">
        <f t="shared" si="13"/>
        <v> </v>
      </c>
      <c r="Q16" s="56" t="str">
        <f t="shared" si="14"/>
        <v> </v>
      </c>
      <c r="R16" s="56" t="str">
        <f t="shared" si="15"/>
        <v> </v>
      </c>
      <c r="S16" s="56" t="str">
        <f t="shared" si="16"/>
        <v> </v>
      </c>
      <c r="T16" s="56" t="str">
        <f t="shared" si="17"/>
        <v> </v>
      </c>
      <c r="U16" s="56" t="str">
        <f t="shared" si="18"/>
        <v> </v>
      </c>
      <c r="V16" s="56" t="str">
        <f t="shared" si="19"/>
        <v> </v>
      </c>
      <c r="W16" s="30" t="str">
        <f t="shared" si="20"/>
        <v> </v>
      </c>
      <c r="X16" s="73" t="str">
        <f t="shared" si="21"/>
        <v> </v>
      </c>
      <c r="Y16" s="71">
        <f t="shared" si="22"/>
      </c>
      <c r="Z16" s="60" t="str">
        <f t="shared" si="23"/>
        <v> </v>
      </c>
      <c r="AA16" s="2"/>
      <c r="AB16" s="2"/>
      <c r="AC16" s="2"/>
      <c r="AD16" s="2"/>
      <c r="AE16" s="2">
        <f t="shared" si="26"/>
        <v>12</v>
      </c>
      <c r="AF16" s="10">
        <v>12</v>
      </c>
      <c r="AG16" s="26" t="str">
        <f>Eingabe!$G$7</f>
        <v>Spieler 12</v>
      </c>
      <c r="AH16" s="56" t="str">
        <f>'20 Spieler'!$AM$16</f>
        <v> </v>
      </c>
      <c r="AI16" s="56" t="str">
        <f>'20 Spieler'!$AG$45</f>
        <v> </v>
      </c>
      <c r="AJ16" s="56" t="str">
        <f>'20 Spieler'!$AE$17</f>
        <v> </v>
      </c>
      <c r="AK16" s="56" t="str">
        <f>'20 Spieler'!$Y$44</f>
        <v> </v>
      </c>
      <c r="AL16" s="56" t="str">
        <f>'20 Spieler'!$W$18</f>
        <v> </v>
      </c>
      <c r="AM16" s="56" t="str">
        <f>'20 Spieler'!$Q$43</f>
        <v> </v>
      </c>
      <c r="AN16" s="56" t="str">
        <f>'20 Spieler'!$O$19</f>
        <v> </v>
      </c>
      <c r="AO16" s="56" t="str">
        <f>'20 Spieler'!$I$42</f>
        <v> </v>
      </c>
      <c r="AP16" s="56" t="str">
        <f>'20 Spieler'!$G$20</f>
        <v> </v>
      </c>
      <c r="AQ16" s="56" t="str">
        <f>'20 Spieler'!$AO$27</f>
        <v> </v>
      </c>
      <c r="AR16" s="56" t="str">
        <f>'20 Spieler'!$AE$63</f>
        <v> </v>
      </c>
      <c r="AS16" s="66" t="s">
        <v>28</v>
      </c>
      <c r="AT16" s="56" t="str">
        <f>'20 Spieler'!$Y$63</f>
        <v> </v>
      </c>
      <c r="AU16" s="56" t="str">
        <f>'20 Spieler'!$W$27</f>
        <v> </v>
      </c>
      <c r="AV16" s="56" t="str">
        <f>'20 Spieler'!$Q$62</f>
        <v> </v>
      </c>
      <c r="AW16" s="56" t="str">
        <f>'20 Spieler'!$O$28</f>
        <v> </v>
      </c>
      <c r="AX16" s="56" t="str">
        <f>'20 Spieler'!$I$61</f>
        <v> </v>
      </c>
      <c r="AY16" s="56" t="str">
        <f>'20 Spieler'!$G$29</f>
        <v> </v>
      </c>
      <c r="AZ16" s="56" t="str">
        <f>'20 Spieler'!$AO$46</f>
        <v> </v>
      </c>
      <c r="BA16" s="30" t="str">
        <f>'20 Spieler'!$AE$26</f>
        <v> </v>
      </c>
      <c r="BB16" s="73" t="str">
        <f t="shared" si="24"/>
        <v> </v>
      </c>
      <c r="BC16" s="71">
        <f t="shared" si="25"/>
      </c>
      <c r="BD16" s="60" t="str">
        <f>IF('Tabelle 20'!$C$5=AG16,'Tabelle 20'!$R$5,"")&amp;IF('Tabelle 20'!$C$6=AG16,'Tabelle 20'!$R$6,"")&amp;IF('Tabelle 20'!$C$7=AG16,'Tabelle 20'!$R$7,"")&amp;IF('Tabelle 20'!$C$8=AG16,'Tabelle 20'!$R$8,"")&amp;IF('Tabelle 20'!$C$9=AG16,'Tabelle 20'!$R$9,"")&amp;IF('Tabelle 20'!$C$10=AG16,'Tabelle 20'!$R$10,"")&amp;IF('Tabelle 20'!$C$11=AG16,'Tabelle 20'!$R$11,"")&amp;IF('Tabelle 20'!$C$12=AG16,'Tabelle 20'!$R$12,"")&amp;IF('Tabelle 20'!$C$13=AG16,'Tabelle 20'!$R$13,"")&amp;IF('Tabelle 20'!$C$14=AG16,'Tabelle 20'!$R$14,"")&amp;IF('Tabelle 20'!$C$15=AG16,'Tabelle 20'!$R$15,"")&amp;IF('Tabelle 20'!$C$16=AG16,'Tabelle 20'!$R$16,"")&amp;IF('Tabelle 20'!$C$17=AG16,'Tabelle 20'!$R$17,"")&amp;IF('Tabelle 20'!$C$18=AG16,'Tabelle 20'!$R$18,"")&amp;IF('Tabelle 20'!$C$19=AG16,'Tabelle 20'!$R$19,"")&amp;IF('Tabelle 20'!$C$20=AG16,'Tabelle 20'!$R$20,"")&amp;IF('Tabelle 20'!$C$21=AG16,'Tabelle 20'!$R$21,"")&amp;IF('Tabelle 20'!$C$22=AG16,'Tabelle 20'!$R$22,"")&amp;IF('Tabelle 20'!$C$23=AG16,'Tabelle 20'!$R$23,"")&amp;IF('Tabelle 20'!$C$24=AG16,'Tabelle 20'!$R$24,"")</f>
        <v> </v>
      </c>
      <c r="BE16" s="126">
        <v>12</v>
      </c>
      <c r="BF16" s="3">
        <f>'Tabelle 20'!N16</f>
        <v>0.09</v>
      </c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2:83" ht="24.75" customHeight="1">
      <c r="B17" s="10">
        <v>13</v>
      </c>
      <c r="C17" s="26" t="str">
        <f t="shared" si="0"/>
        <v>Spieler 13</v>
      </c>
      <c r="D17" s="56" t="str">
        <f t="shared" si="1"/>
        <v> </v>
      </c>
      <c r="E17" s="56" t="str">
        <f t="shared" si="2"/>
        <v> </v>
      </c>
      <c r="F17" s="56" t="str">
        <f t="shared" si="3"/>
        <v> </v>
      </c>
      <c r="G17" s="56" t="str">
        <f t="shared" si="4"/>
        <v> </v>
      </c>
      <c r="H17" s="56" t="str">
        <f t="shared" si="5"/>
        <v> </v>
      </c>
      <c r="I17" s="56" t="str">
        <f t="shared" si="6"/>
        <v> </v>
      </c>
      <c r="J17" s="56" t="str">
        <f t="shared" si="7"/>
        <v> </v>
      </c>
      <c r="K17" s="56" t="str">
        <f t="shared" si="8"/>
        <v> </v>
      </c>
      <c r="L17" s="56" t="str">
        <f t="shared" si="9"/>
        <v> </v>
      </c>
      <c r="M17" s="56" t="str">
        <f t="shared" si="10"/>
        <v> </v>
      </c>
      <c r="N17" s="56" t="str">
        <f t="shared" si="11"/>
        <v> </v>
      </c>
      <c r="O17" s="56" t="str">
        <f t="shared" si="12"/>
        <v> </v>
      </c>
      <c r="P17" s="66" t="str">
        <f t="shared" si="13"/>
        <v> </v>
      </c>
      <c r="Q17" s="56" t="str">
        <f t="shared" si="14"/>
        <v> </v>
      </c>
      <c r="R17" s="56" t="str">
        <f t="shared" si="15"/>
        <v> </v>
      </c>
      <c r="S17" s="56" t="str">
        <f t="shared" si="16"/>
        <v> </v>
      </c>
      <c r="T17" s="56" t="str">
        <f t="shared" si="17"/>
        <v> </v>
      </c>
      <c r="U17" s="56" t="str">
        <f t="shared" si="18"/>
        <v> </v>
      </c>
      <c r="V17" s="56" t="str">
        <f t="shared" si="19"/>
        <v> </v>
      </c>
      <c r="W17" s="30" t="str">
        <f t="shared" si="20"/>
        <v> </v>
      </c>
      <c r="X17" s="73" t="str">
        <f t="shared" si="21"/>
        <v> </v>
      </c>
      <c r="Y17" s="71">
        <f t="shared" si="22"/>
      </c>
      <c r="Z17" s="60" t="str">
        <f t="shared" si="23"/>
        <v> </v>
      </c>
      <c r="AA17" s="2"/>
      <c r="AB17" s="2"/>
      <c r="AC17" s="2"/>
      <c r="AD17" s="2"/>
      <c r="AE17" s="2">
        <f t="shared" si="26"/>
        <v>13</v>
      </c>
      <c r="AF17" s="10">
        <v>13</v>
      </c>
      <c r="AG17" s="26" t="str">
        <f>Eingabe!$G$8</f>
        <v>Spieler 13</v>
      </c>
      <c r="AH17" s="56" t="str">
        <f>'20 Spieler'!$AG$46</f>
        <v> </v>
      </c>
      <c r="AI17" s="56" t="str">
        <f>'20 Spieler'!$AE$16</f>
        <v> </v>
      </c>
      <c r="AJ17" s="56" t="str">
        <f>'20 Spieler'!$Y$45</f>
        <v> </v>
      </c>
      <c r="AK17" s="56" t="str">
        <f>'20 Spieler'!$W$17</f>
        <v> </v>
      </c>
      <c r="AL17" s="56" t="str">
        <f>'20 Spieler'!$Q$44</f>
        <v> </v>
      </c>
      <c r="AM17" s="56" t="str">
        <f>'20 Spieler'!$O$18</f>
        <v> </v>
      </c>
      <c r="AN17" s="56" t="str">
        <f>'20 Spieler'!$I$43</f>
        <v> </v>
      </c>
      <c r="AO17" s="56" t="str">
        <f>'20 Spieler'!$G$19</f>
        <v> </v>
      </c>
      <c r="AP17" s="56" t="str">
        <f>'20 Spieler'!$AO$28</f>
        <v> </v>
      </c>
      <c r="AQ17" s="56" t="str">
        <f>'20 Spieler'!$AE$62</f>
        <v> </v>
      </c>
      <c r="AR17" s="56" t="str">
        <f>'20 Spieler'!$AG$27</f>
        <v> </v>
      </c>
      <c r="AS17" s="56" t="str">
        <f>'20 Spieler'!$W$63</f>
        <v> </v>
      </c>
      <c r="AT17" s="66" t="s">
        <v>28</v>
      </c>
      <c r="AU17" s="56" t="str">
        <f>'20 Spieler'!$Q$63</f>
        <v> </v>
      </c>
      <c r="AV17" s="56" t="str">
        <f>'20 Spieler'!$O$27</f>
        <v> </v>
      </c>
      <c r="AW17" s="56" t="str">
        <f>'20 Spieler'!$I$62</f>
        <v> </v>
      </c>
      <c r="AX17" s="56" t="str">
        <f>'20 Spieler'!$G$28</f>
        <v> </v>
      </c>
      <c r="AY17" s="56" t="str">
        <f>'20 Spieler'!$AO$47</f>
        <v> </v>
      </c>
      <c r="AZ17" s="56" t="str">
        <f>'20 Spieler'!$AM$15</f>
        <v> </v>
      </c>
      <c r="BA17" s="30" t="str">
        <f>'20 Spieler'!$W$26</f>
        <v> </v>
      </c>
      <c r="BB17" s="73" t="str">
        <f t="shared" si="24"/>
        <v> </v>
      </c>
      <c r="BC17" s="71">
        <f t="shared" si="25"/>
      </c>
      <c r="BD17" s="60" t="str">
        <f>IF('Tabelle 20'!$C$5=AG17,'Tabelle 20'!$R$5,"")&amp;IF('Tabelle 20'!$C$6=AG17,'Tabelle 20'!$R$6,"")&amp;IF('Tabelle 20'!$C$7=AG17,'Tabelle 20'!$R$7,"")&amp;IF('Tabelle 20'!$C$8=AG17,'Tabelle 20'!$R$8,"")&amp;IF('Tabelle 20'!$C$9=AG17,'Tabelle 20'!$R$9,"")&amp;IF('Tabelle 20'!$C$10=AG17,'Tabelle 20'!$R$10,"")&amp;IF('Tabelle 20'!$C$11=AG17,'Tabelle 20'!$R$11,"")&amp;IF('Tabelle 20'!$C$12=AG17,'Tabelle 20'!$R$12,"")&amp;IF('Tabelle 20'!$C$13=AG17,'Tabelle 20'!$R$13,"")&amp;IF('Tabelle 20'!$C$14=AG17,'Tabelle 20'!$R$14,"")&amp;IF('Tabelle 20'!$C$15=AG17,'Tabelle 20'!$R$15,"")&amp;IF('Tabelle 20'!$C$16=AG17,'Tabelle 20'!$R$16,"")&amp;IF('Tabelle 20'!$C$17=AG17,'Tabelle 20'!$R$17,"")&amp;IF('Tabelle 20'!$C$18=AG17,'Tabelle 20'!$R$18,"")&amp;IF('Tabelle 20'!$C$19=AG17,'Tabelle 20'!$R$19,"")&amp;IF('Tabelle 20'!$C$20=AG17,'Tabelle 20'!$R$20,"")&amp;IF('Tabelle 20'!$C$21=AG17,'Tabelle 20'!$R$21,"")&amp;IF('Tabelle 20'!$C$22=AG17,'Tabelle 20'!$R$22,"")&amp;IF('Tabelle 20'!$C$23=AG17,'Tabelle 20'!$R$23,"")&amp;IF('Tabelle 20'!$C$24=AG17,'Tabelle 20'!$R$24,"")</f>
        <v> </v>
      </c>
      <c r="BE17" s="126">
        <v>13</v>
      </c>
      <c r="BF17" s="3">
        <f>'Tabelle 20'!N17</f>
        <v>0.08</v>
      </c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2:83" ht="24.75" customHeight="1">
      <c r="B18" s="10">
        <v>14</v>
      </c>
      <c r="C18" s="26" t="str">
        <f t="shared" si="0"/>
        <v>Spieler 14</v>
      </c>
      <c r="D18" s="56" t="str">
        <f t="shared" si="1"/>
        <v> </v>
      </c>
      <c r="E18" s="56" t="str">
        <f t="shared" si="2"/>
        <v> </v>
      </c>
      <c r="F18" s="56" t="str">
        <f t="shared" si="3"/>
        <v> </v>
      </c>
      <c r="G18" s="56" t="str">
        <f t="shared" si="4"/>
        <v> </v>
      </c>
      <c r="H18" s="56" t="str">
        <f t="shared" si="5"/>
        <v> </v>
      </c>
      <c r="I18" s="56" t="str">
        <f t="shared" si="6"/>
        <v> </v>
      </c>
      <c r="J18" s="56" t="str">
        <f t="shared" si="7"/>
        <v> </v>
      </c>
      <c r="K18" s="56" t="str">
        <f t="shared" si="8"/>
        <v> </v>
      </c>
      <c r="L18" s="56" t="str">
        <f t="shared" si="9"/>
        <v> </v>
      </c>
      <c r="M18" s="56" t="str">
        <f t="shared" si="10"/>
        <v> </v>
      </c>
      <c r="N18" s="56" t="str">
        <f t="shared" si="11"/>
        <v> </v>
      </c>
      <c r="O18" s="56" t="str">
        <f t="shared" si="12"/>
        <v> </v>
      </c>
      <c r="P18" s="56" t="str">
        <f t="shared" si="13"/>
        <v> </v>
      </c>
      <c r="Q18" s="66" t="str">
        <f t="shared" si="14"/>
        <v> </v>
      </c>
      <c r="R18" s="56" t="str">
        <f t="shared" si="15"/>
        <v> </v>
      </c>
      <c r="S18" s="56" t="str">
        <f t="shared" si="16"/>
        <v> </v>
      </c>
      <c r="T18" s="56" t="str">
        <f t="shared" si="17"/>
        <v> </v>
      </c>
      <c r="U18" s="56" t="str">
        <f t="shared" si="18"/>
        <v> </v>
      </c>
      <c r="V18" s="56" t="str">
        <f t="shared" si="19"/>
        <v> </v>
      </c>
      <c r="W18" s="30" t="str">
        <f t="shared" si="20"/>
        <v> </v>
      </c>
      <c r="X18" s="73" t="str">
        <f t="shared" si="21"/>
        <v> </v>
      </c>
      <c r="Y18" s="71">
        <f t="shared" si="22"/>
      </c>
      <c r="Z18" s="60" t="str">
        <f t="shared" si="23"/>
        <v> </v>
      </c>
      <c r="AA18" s="2"/>
      <c r="AB18" s="2"/>
      <c r="AC18" s="2"/>
      <c r="AD18" s="2"/>
      <c r="AE18" s="2">
        <f t="shared" si="26"/>
        <v>14</v>
      </c>
      <c r="AF18" s="10">
        <v>14</v>
      </c>
      <c r="AG18" s="26" t="str">
        <f>Eingabe!$G$9</f>
        <v>Spieler 14</v>
      </c>
      <c r="AH18" s="56" t="str">
        <f>'20 Spieler'!$AE$15</f>
        <v> </v>
      </c>
      <c r="AI18" s="56" t="str">
        <f>'20 Spieler'!$Y$46</f>
        <v> </v>
      </c>
      <c r="AJ18" s="56" t="str">
        <f>'20 Spieler'!$W$16</f>
        <v> </v>
      </c>
      <c r="AK18" s="56" t="str">
        <f>'20 Spieler'!$Q$45</f>
        <v> </v>
      </c>
      <c r="AL18" s="56" t="str">
        <f>'20 Spieler'!$O$17</f>
        <v> </v>
      </c>
      <c r="AM18" s="56" t="str">
        <f>'20 Spieler'!$I$44</f>
        <v> </v>
      </c>
      <c r="AN18" s="56" t="str">
        <f>'20 Spieler'!$G$18</f>
        <v> </v>
      </c>
      <c r="AO18" s="56" t="str">
        <f>'20 Spieler'!$AO$29</f>
        <v> </v>
      </c>
      <c r="AP18" s="56" t="str">
        <f>'20 Spieler'!$AE$61</f>
        <v> </v>
      </c>
      <c r="AQ18" s="56" t="str">
        <f>'20 Spieler'!$AG$28</f>
        <v> </v>
      </c>
      <c r="AR18" s="56" t="str">
        <f>'20 Spieler'!$W$62</f>
        <v> </v>
      </c>
      <c r="AS18" s="56" t="str">
        <f>'20 Spieler'!$Y$27</f>
        <v> </v>
      </c>
      <c r="AT18" s="56" t="str">
        <f>'20 Spieler'!$O$63</f>
        <v> </v>
      </c>
      <c r="AU18" s="66" t="s">
        <v>28</v>
      </c>
      <c r="AV18" s="56" t="str">
        <f>'20 Spieler'!$I$63</f>
        <v> </v>
      </c>
      <c r="AW18" s="56" t="str">
        <f>'20 Spieler'!$G$27</f>
        <v> </v>
      </c>
      <c r="AX18" s="56" t="str">
        <f>'20 Spieler'!$AO$48</f>
        <v> </v>
      </c>
      <c r="AY18" s="56" t="str">
        <f>'20 Spieler'!$AM$14</f>
        <v> </v>
      </c>
      <c r="AZ18" s="56" t="str">
        <f>'20 Spieler'!$AG$47</f>
        <v> </v>
      </c>
      <c r="BA18" s="30" t="str">
        <f>'20 Spieler'!$O$26</f>
        <v> </v>
      </c>
      <c r="BB18" s="73" t="str">
        <f t="shared" si="24"/>
        <v> </v>
      </c>
      <c r="BC18" s="71">
        <f t="shared" si="25"/>
      </c>
      <c r="BD18" s="60" t="str">
        <f>IF('Tabelle 20'!$C$5=AG18,'Tabelle 20'!$R$5,"")&amp;IF('Tabelle 20'!$C$6=AG18,'Tabelle 20'!$R$6,"")&amp;IF('Tabelle 20'!$C$7=AG18,'Tabelle 20'!$R$7,"")&amp;IF('Tabelle 20'!$C$8=AG18,'Tabelle 20'!$R$8,"")&amp;IF('Tabelle 20'!$C$9=AG18,'Tabelle 20'!$R$9,"")&amp;IF('Tabelle 20'!$C$10=AG18,'Tabelle 20'!$R$10,"")&amp;IF('Tabelle 20'!$C$11=AG18,'Tabelle 20'!$R$11,"")&amp;IF('Tabelle 20'!$C$12=AG18,'Tabelle 20'!$R$12,"")&amp;IF('Tabelle 20'!$C$13=AG18,'Tabelle 20'!$R$13,"")&amp;IF('Tabelle 20'!$C$14=AG18,'Tabelle 20'!$R$14,"")&amp;IF('Tabelle 20'!$C$15=AG18,'Tabelle 20'!$R$15,"")&amp;IF('Tabelle 20'!$C$16=AG18,'Tabelle 20'!$R$16,"")&amp;IF('Tabelle 20'!$C$17=AG18,'Tabelle 20'!$R$17,"")&amp;IF('Tabelle 20'!$C$18=AG18,'Tabelle 20'!$R$18,"")&amp;IF('Tabelle 20'!$C$19=AG18,'Tabelle 20'!$R$19,"")&amp;IF('Tabelle 20'!$C$20=AG18,'Tabelle 20'!$R$20,"")&amp;IF('Tabelle 20'!$C$21=AG18,'Tabelle 20'!$R$21,"")&amp;IF('Tabelle 20'!$C$22=AG18,'Tabelle 20'!$R$22,"")&amp;IF('Tabelle 20'!$C$23=AG18,'Tabelle 20'!$R$23,"")&amp;IF('Tabelle 20'!$C$24=AG18,'Tabelle 20'!$R$24,"")</f>
        <v> </v>
      </c>
      <c r="BE18" s="126">
        <v>14</v>
      </c>
      <c r="BF18" s="3">
        <f>'Tabelle 20'!N18</f>
        <v>0.07</v>
      </c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2:83" ht="24.75" customHeight="1">
      <c r="B19" s="10">
        <v>15</v>
      </c>
      <c r="C19" s="26" t="str">
        <f t="shared" si="0"/>
        <v>Spieler 15</v>
      </c>
      <c r="D19" s="56" t="str">
        <f t="shared" si="1"/>
        <v> </v>
      </c>
      <c r="E19" s="56" t="str">
        <f t="shared" si="2"/>
        <v> </v>
      </c>
      <c r="F19" s="56" t="str">
        <f t="shared" si="3"/>
        <v> </v>
      </c>
      <c r="G19" s="56" t="str">
        <f t="shared" si="4"/>
        <v> </v>
      </c>
      <c r="H19" s="56" t="str">
        <f t="shared" si="5"/>
        <v> </v>
      </c>
      <c r="I19" s="56" t="str">
        <f t="shared" si="6"/>
        <v> </v>
      </c>
      <c r="J19" s="56" t="str">
        <f t="shared" si="7"/>
        <v> </v>
      </c>
      <c r="K19" s="56" t="str">
        <f t="shared" si="8"/>
        <v> </v>
      </c>
      <c r="L19" s="56" t="str">
        <f t="shared" si="9"/>
        <v> </v>
      </c>
      <c r="M19" s="56" t="str">
        <f t="shared" si="10"/>
        <v> </v>
      </c>
      <c r="N19" s="56" t="str">
        <f t="shared" si="11"/>
        <v> </v>
      </c>
      <c r="O19" s="56" t="str">
        <f t="shared" si="12"/>
        <v> </v>
      </c>
      <c r="P19" s="56" t="str">
        <f t="shared" si="13"/>
        <v> </v>
      </c>
      <c r="Q19" s="56" t="str">
        <f t="shared" si="14"/>
        <v> </v>
      </c>
      <c r="R19" s="66" t="str">
        <f t="shared" si="15"/>
        <v> </v>
      </c>
      <c r="S19" s="56" t="str">
        <f t="shared" si="16"/>
        <v> </v>
      </c>
      <c r="T19" s="56" t="str">
        <f t="shared" si="17"/>
        <v> </v>
      </c>
      <c r="U19" s="56" t="str">
        <f t="shared" si="18"/>
        <v> </v>
      </c>
      <c r="V19" s="56" t="str">
        <f t="shared" si="19"/>
        <v> </v>
      </c>
      <c r="W19" s="30" t="str">
        <f t="shared" si="20"/>
        <v> </v>
      </c>
      <c r="X19" s="73" t="str">
        <f t="shared" si="21"/>
        <v> </v>
      </c>
      <c r="Y19" s="71">
        <f t="shared" si="22"/>
      </c>
      <c r="Z19" s="60" t="str">
        <f t="shared" si="23"/>
        <v> </v>
      </c>
      <c r="AA19" s="2"/>
      <c r="AB19" s="2"/>
      <c r="AC19" s="2"/>
      <c r="AD19" s="2"/>
      <c r="AE19" s="2">
        <f t="shared" si="26"/>
        <v>15</v>
      </c>
      <c r="AF19" s="10">
        <v>15</v>
      </c>
      <c r="AG19" s="26" t="str">
        <f>Eingabe!$G$10</f>
        <v>Spieler 15</v>
      </c>
      <c r="AH19" s="56" t="str">
        <f>'20 Spieler'!$Y$47</f>
        <v> </v>
      </c>
      <c r="AI19" s="56" t="str">
        <f>'20 Spieler'!$W$15</f>
        <v> </v>
      </c>
      <c r="AJ19" s="56" t="str">
        <f>'20 Spieler'!$Q$46</f>
        <v> </v>
      </c>
      <c r="AK19" s="56" t="str">
        <f>'20 Spieler'!$O$16</f>
        <v> </v>
      </c>
      <c r="AL19" s="56" t="str">
        <f>'20 Spieler'!$I$45</f>
        <v> </v>
      </c>
      <c r="AM19" s="56" t="str">
        <f>'20 Spieler'!$G$17</f>
        <v> </v>
      </c>
      <c r="AN19" s="56" t="str">
        <f>'20 Spieler'!$AO$30</f>
        <v> </v>
      </c>
      <c r="AO19" s="56" t="str">
        <f>'20 Spieler'!$AE$60</f>
        <v> </v>
      </c>
      <c r="AP19" s="56" t="str">
        <f>'20 Spieler'!$AG$29</f>
        <v> </v>
      </c>
      <c r="AQ19" s="56" t="str">
        <f>'20 Spieler'!$W$61</f>
        <v> </v>
      </c>
      <c r="AR19" s="56" t="str">
        <f>'20 Spieler'!$Y$28</f>
        <v> </v>
      </c>
      <c r="AS19" s="56" t="str">
        <f>'20 Spieler'!$O$62</f>
        <v> </v>
      </c>
      <c r="AT19" s="56" t="str">
        <f>'20 Spieler'!$Q$27</f>
        <v> </v>
      </c>
      <c r="AU19" s="56" t="str">
        <f>'20 Spieler'!$G$63</f>
        <v> </v>
      </c>
      <c r="AV19" s="66" t="s">
        <v>28</v>
      </c>
      <c r="AW19" s="56" t="str">
        <f>'20 Spieler'!$AO$49</f>
        <v> </v>
      </c>
      <c r="AX19" s="56" t="str">
        <f>'20 Spieler'!$AM$13</f>
        <v> </v>
      </c>
      <c r="AY19" s="56" t="str">
        <f>'20 Spieler'!$AG$48</f>
        <v> </v>
      </c>
      <c r="AZ19" s="56" t="str">
        <f>'20 Spieler'!$AE$14</f>
        <v> </v>
      </c>
      <c r="BA19" s="30" t="str">
        <f>'20 Spieler'!$G$26</f>
        <v> </v>
      </c>
      <c r="BB19" s="73" t="str">
        <f t="shared" si="24"/>
        <v> </v>
      </c>
      <c r="BC19" s="71">
        <f t="shared" si="25"/>
      </c>
      <c r="BD19" s="60" t="str">
        <f>IF('Tabelle 20'!$C$5=AG19,'Tabelle 20'!$R$5,"")&amp;IF('Tabelle 20'!$C$6=AG19,'Tabelle 20'!$R$6,"")&amp;IF('Tabelle 20'!$C$7=AG19,'Tabelle 20'!$R$7,"")&amp;IF('Tabelle 20'!$C$8=AG19,'Tabelle 20'!$R$8,"")&amp;IF('Tabelle 20'!$C$9=AG19,'Tabelle 20'!$R$9,"")&amp;IF('Tabelle 20'!$C$10=AG19,'Tabelle 20'!$R$10,"")&amp;IF('Tabelle 20'!$C$11=AG19,'Tabelle 20'!$R$11,"")&amp;IF('Tabelle 20'!$C$12=AG19,'Tabelle 20'!$R$12,"")&amp;IF('Tabelle 20'!$C$13=AG19,'Tabelle 20'!$R$13,"")&amp;IF('Tabelle 20'!$C$14=AG19,'Tabelle 20'!$R$14,"")&amp;IF('Tabelle 20'!$C$15=AG19,'Tabelle 20'!$R$15,"")&amp;IF('Tabelle 20'!$C$16=AG19,'Tabelle 20'!$R$16,"")&amp;IF('Tabelle 20'!$C$17=AG19,'Tabelle 20'!$R$17,"")&amp;IF('Tabelle 20'!$C$18=AG19,'Tabelle 20'!$R$18,"")&amp;IF('Tabelle 20'!$C$19=AG19,'Tabelle 20'!$R$19,"")&amp;IF('Tabelle 20'!$C$20=AG19,'Tabelle 20'!$R$20,"")&amp;IF('Tabelle 20'!$C$21=AG19,'Tabelle 20'!$R$21,"")&amp;IF('Tabelle 20'!$C$22=AG19,'Tabelle 20'!$R$22,"")&amp;IF('Tabelle 20'!$C$23=AG19,'Tabelle 20'!$R$23,"")&amp;IF('Tabelle 20'!$C$24=AG19,'Tabelle 20'!$R$24,"")</f>
        <v> </v>
      </c>
      <c r="BE19" s="126">
        <v>15</v>
      </c>
      <c r="BF19" s="3">
        <f>'Tabelle 20'!N19</f>
        <v>0.06</v>
      </c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2:83" ht="24.75" customHeight="1">
      <c r="B20" s="10">
        <v>16</v>
      </c>
      <c r="C20" s="26" t="str">
        <f t="shared" si="0"/>
        <v>Spieler 16</v>
      </c>
      <c r="D20" s="56" t="str">
        <f t="shared" si="1"/>
        <v> </v>
      </c>
      <c r="E20" s="56" t="str">
        <f t="shared" si="2"/>
        <v> </v>
      </c>
      <c r="F20" s="56" t="str">
        <f t="shared" si="3"/>
        <v> </v>
      </c>
      <c r="G20" s="56" t="str">
        <f t="shared" si="4"/>
        <v> </v>
      </c>
      <c r="H20" s="56" t="str">
        <f t="shared" si="5"/>
        <v> </v>
      </c>
      <c r="I20" s="56" t="str">
        <f t="shared" si="6"/>
        <v> </v>
      </c>
      <c r="J20" s="56" t="str">
        <f t="shared" si="7"/>
        <v> </v>
      </c>
      <c r="K20" s="56" t="str">
        <f t="shared" si="8"/>
        <v> </v>
      </c>
      <c r="L20" s="56" t="str">
        <f t="shared" si="9"/>
        <v> </v>
      </c>
      <c r="M20" s="56" t="str">
        <f t="shared" si="10"/>
        <v> </v>
      </c>
      <c r="N20" s="56" t="str">
        <f t="shared" si="11"/>
        <v> </v>
      </c>
      <c r="O20" s="56" t="str">
        <f t="shared" si="12"/>
        <v> </v>
      </c>
      <c r="P20" s="56" t="str">
        <f t="shared" si="13"/>
        <v> </v>
      </c>
      <c r="Q20" s="56" t="str">
        <f t="shared" si="14"/>
        <v> </v>
      </c>
      <c r="R20" s="56" t="str">
        <f t="shared" si="15"/>
        <v> </v>
      </c>
      <c r="S20" s="66" t="str">
        <f t="shared" si="16"/>
        <v> </v>
      </c>
      <c r="T20" s="56" t="str">
        <f t="shared" si="17"/>
        <v> </v>
      </c>
      <c r="U20" s="56" t="str">
        <f t="shared" si="18"/>
        <v> </v>
      </c>
      <c r="V20" s="56" t="str">
        <f t="shared" si="19"/>
        <v> </v>
      </c>
      <c r="W20" s="30" t="str">
        <f t="shared" si="20"/>
        <v> </v>
      </c>
      <c r="X20" s="73" t="str">
        <f t="shared" si="21"/>
        <v> </v>
      </c>
      <c r="Y20" s="71">
        <f t="shared" si="22"/>
      </c>
      <c r="Z20" s="60" t="str">
        <f t="shared" si="23"/>
        <v> </v>
      </c>
      <c r="AA20" s="2"/>
      <c r="AB20" s="2"/>
      <c r="AC20" s="2"/>
      <c r="AD20" s="2"/>
      <c r="AE20" s="2">
        <f t="shared" si="26"/>
        <v>16</v>
      </c>
      <c r="AF20" s="10">
        <v>16</v>
      </c>
      <c r="AG20" s="26" t="str">
        <f>Eingabe!$G$11</f>
        <v>Spieler 16</v>
      </c>
      <c r="AH20" s="56" t="str">
        <f>'20 Spieler'!$W$14</f>
        <v> </v>
      </c>
      <c r="AI20" s="56" t="str">
        <f>'20 Spieler'!$Q$47</f>
        <v> </v>
      </c>
      <c r="AJ20" s="56" t="str">
        <f>'20 Spieler'!$O$15</f>
        <v> </v>
      </c>
      <c r="AK20" s="56" t="str">
        <f>'20 Spieler'!$I$46</f>
        <v> </v>
      </c>
      <c r="AL20" s="56" t="str">
        <f>'20 Spieler'!$G$16</f>
        <v> </v>
      </c>
      <c r="AM20" s="56" t="str">
        <f>'20 Spieler'!$AO$31</f>
        <v> </v>
      </c>
      <c r="AN20" s="56" t="str">
        <f>'20 Spieler'!$AE$59</f>
        <v> </v>
      </c>
      <c r="AO20" s="56" t="str">
        <f>'20 Spieler'!$AG$30</f>
        <v> </v>
      </c>
      <c r="AP20" s="56" t="str">
        <f>'20 Spieler'!$W$60</f>
        <v> </v>
      </c>
      <c r="AQ20" s="56" t="str">
        <f>'20 Spieler'!$Y$29</f>
        <v> </v>
      </c>
      <c r="AR20" s="56" t="str">
        <f>'20 Spieler'!$O$61</f>
        <v> </v>
      </c>
      <c r="AS20" s="56" t="str">
        <f>'20 Spieler'!$Q$28</f>
        <v> </v>
      </c>
      <c r="AT20" s="56" t="str">
        <f>'20 Spieler'!$G$62</f>
        <v> </v>
      </c>
      <c r="AU20" s="56" t="str">
        <f>'20 Spieler'!$I$27</f>
        <v> </v>
      </c>
      <c r="AV20" s="56" t="str">
        <f>'20 Spieler'!$AM$49</f>
        <v> </v>
      </c>
      <c r="AW20" s="66" t="s">
        <v>28</v>
      </c>
      <c r="AX20" s="56" t="str">
        <f>'20 Spieler'!$AG$49</f>
        <v> </v>
      </c>
      <c r="AY20" s="56" t="str">
        <f>'20 Spieler'!$AE$13</f>
        <v> </v>
      </c>
      <c r="AZ20" s="56" t="str">
        <f>'20 Spieler'!$Y$48</f>
        <v> </v>
      </c>
      <c r="BA20" s="30" t="str">
        <f>'20 Spieler'!$AM$12</f>
        <v> </v>
      </c>
      <c r="BB20" s="73" t="str">
        <f t="shared" si="24"/>
        <v> </v>
      </c>
      <c r="BC20" s="71">
        <f t="shared" si="25"/>
      </c>
      <c r="BD20" s="60" t="str">
        <f>IF('Tabelle 20'!$C$5=AG20,'Tabelle 20'!$R$5,"")&amp;IF('Tabelle 20'!$C$6=AG20,'Tabelle 20'!$R$6,"")&amp;IF('Tabelle 20'!$C$7=AG20,'Tabelle 20'!$R$7,"")&amp;IF('Tabelle 20'!$C$8=AG20,'Tabelle 20'!$R$8,"")&amp;IF('Tabelle 20'!$C$9=AG20,'Tabelle 20'!$R$9,"")&amp;IF('Tabelle 20'!$C$10=AG20,'Tabelle 20'!$R$10,"")&amp;IF('Tabelle 20'!$C$11=AG20,'Tabelle 20'!$R$11,"")&amp;IF('Tabelle 20'!$C$12=AG20,'Tabelle 20'!$R$12,"")&amp;IF('Tabelle 20'!$C$13=AG20,'Tabelle 20'!$R$13,"")&amp;IF('Tabelle 20'!$C$14=AG20,'Tabelle 20'!$R$14,"")&amp;IF('Tabelle 20'!$C$15=AG20,'Tabelle 20'!$R$15,"")&amp;IF('Tabelle 20'!$C$16=AG20,'Tabelle 20'!$R$16,"")&amp;IF('Tabelle 20'!$C$17=AG20,'Tabelle 20'!$R$17,"")&amp;IF('Tabelle 20'!$C$18=AG20,'Tabelle 20'!$R$18,"")&amp;IF('Tabelle 20'!$C$19=AG20,'Tabelle 20'!$R$19,"")&amp;IF('Tabelle 20'!$C$20=AG20,'Tabelle 20'!$R$20,"")&amp;IF('Tabelle 20'!$C$21=AG20,'Tabelle 20'!$R$21,"")&amp;IF('Tabelle 20'!$C$22=AG20,'Tabelle 20'!$R$22,"")&amp;IF('Tabelle 20'!$C$23=AG20,'Tabelle 20'!$R$23,"")&amp;IF('Tabelle 20'!$C$24=AG20,'Tabelle 20'!$R$24,"")</f>
        <v> </v>
      </c>
      <c r="BE20" s="126">
        <v>16</v>
      </c>
      <c r="BF20" s="3">
        <f>'Tabelle 20'!N20</f>
        <v>0.05</v>
      </c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2:83" ht="24.75" customHeight="1">
      <c r="B21" s="10">
        <v>17</v>
      </c>
      <c r="C21" s="26" t="str">
        <f t="shared" si="0"/>
        <v>Spieler 17</v>
      </c>
      <c r="D21" s="56" t="str">
        <f t="shared" si="1"/>
        <v> </v>
      </c>
      <c r="E21" s="56" t="str">
        <f t="shared" si="2"/>
        <v> </v>
      </c>
      <c r="F21" s="56" t="str">
        <f t="shared" si="3"/>
        <v> </v>
      </c>
      <c r="G21" s="56" t="str">
        <f t="shared" si="4"/>
        <v> </v>
      </c>
      <c r="H21" s="56" t="str">
        <f t="shared" si="5"/>
        <v> </v>
      </c>
      <c r="I21" s="56" t="str">
        <f t="shared" si="6"/>
        <v> </v>
      </c>
      <c r="J21" s="56" t="str">
        <f t="shared" si="7"/>
        <v> </v>
      </c>
      <c r="K21" s="56" t="str">
        <f t="shared" si="8"/>
        <v> </v>
      </c>
      <c r="L21" s="56" t="str">
        <f t="shared" si="9"/>
        <v> </v>
      </c>
      <c r="M21" s="56" t="str">
        <f t="shared" si="10"/>
        <v> </v>
      </c>
      <c r="N21" s="56" t="str">
        <f t="shared" si="11"/>
        <v> </v>
      </c>
      <c r="O21" s="56" t="str">
        <f t="shared" si="12"/>
        <v> </v>
      </c>
      <c r="P21" s="56" t="str">
        <f t="shared" si="13"/>
        <v> </v>
      </c>
      <c r="Q21" s="56" t="str">
        <f t="shared" si="14"/>
        <v> </v>
      </c>
      <c r="R21" s="56" t="str">
        <f t="shared" si="15"/>
        <v> </v>
      </c>
      <c r="S21" s="56" t="str">
        <f t="shared" si="16"/>
        <v> </v>
      </c>
      <c r="T21" s="66" t="str">
        <f t="shared" si="17"/>
        <v> </v>
      </c>
      <c r="U21" s="56" t="str">
        <f t="shared" si="18"/>
        <v> </v>
      </c>
      <c r="V21" s="56" t="str">
        <f t="shared" si="19"/>
        <v> </v>
      </c>
      <c r="W21" s="30" t="str">
        <f t="shared" si="20"/>
        <v> </v>
      </c>
      <c r="X21" s="73" t="str">
        <f t="shared" si="21"/>
        <v> </v>
      </c>
      <c r="Y21" s="71">
        <f t="shared" si="22"/>
      </c>
      <c r="Z21" s="60" t="str">
        <f t="shared" si="23"/>
        <v> </v>
      </c>
      <c r="AA21" s="2"/>
      <c r="AB21" s="2"/>
      <c r="AC21" s="2"/>
      <c r="AD21" s="2"/>
      <c r="AE21" s="2">
        <f t="shared" si="26"/>
        <v>17</v>
      </c>
      <c r="AF21" s="10">
        <v>17</v>
      </c>
      <c r="AG21" s="26" t="str">
        <f>Eingabe!$G$12</f>
        <v>Spieler 17</v>
      </c>
      <c r="AH21" s="56" t="str">
        <f>'20 Spieler'!$Q$48</f>
        <v> </v>
      </c>
      <c r="AI21" s="56" t="str">
        <f>'20 Spieler'!$O$14</f>
        <v> </v>
      </c>
      <c r="AJ21" s="56" t="str">
        <f>'20 Spieler'!$I$47</f>
        <v> </v>
      </c>
      <c r="AK21" s="56" t="str">
        <f>'20 Spieler'!$G$15</f>
        <v> </v>
      </c>
      <c r="AL21" s="56" t="str">
        <f>'20 Spieler'!$AO$32</f>
        <v> </v>
      </c>
      <c r="AM21" s="56" t="str">
        <f>'20 Spieler'!$AE$58</f>
        <v> </v>
      </c>
      <c r="AN21" s="56" t="str">
        <f>'20 Spieler'!$AG$31</f>
        <v> </v>
      </c>
      <c r="AO21" s="56" t="str">
        <f>'20 Spieler'!$W$59</f>
        <v> </v>
      </c>
      <c r="AP21" s="56" t="str">
        <f>'20 Spieler'!$Y$30</f>
        <v> </v>
      </c>
      <c r="AQ21" s="56" t="str">
        <f>'20 Spieler'!$O$60</f>
        <v> </v>
      </c>
      <c r="AR21" s="56" t="str">
        <f>'20 Spieler'!$Q$29</f>
        <v> </v>
      </c>
      <c r="AS21" s="56" t="str">
        <f>'20 Spieler'!$G$61</f>
        <v> </v>
      </c>
      <c r="AT21" s="56" t="str">
        <f>'20 Spieler'!$I$28</f>
        <v> </v>
      </c>
      <c r="AU21" s="56" t="str">
        <f>'20 Spieler'!$AM$48</f>
        <v> </v>
      </c>
      <c r="AV21" s="56" t="str">
        <f>'20 Spieler'!$AO$13</f>
        <v> </v>
      </c>
      <c r="AW21" s="56" t="str">
        <f>'20 Spieler'!$AE$49</f>
        <v> </v>
      </c>
      <c r="AX21" s="66" t="s">
        <v>28</v>
      </c>
      <c r="AY21" s="56" t="str">
        <f>'20 Spieler'!$Y$49</f>
        <v> </v>
      </c>
      <c r="AZ21" s="56" t="str">
        <f>'20 Spieler'!$W$13</f>
        <v> </v>
      </c>
      <c r="BA21" s="30" t="str">
        <f>'20 Spieler'!$AE$12</f>
        <v> </v>
      </c>
      <c r="BB21" s="73" t="str">
        <f t="shared" si="24"/>
        <v> </v>
      </c>
      <c r="BC21" s="71">
        <f t="shared" si="25"/>
      </c>
      <c r="BD21" s="60" t="str">
        <f>IF('Tabelle 20'!$C$5=AG21,'Tabelle 20'!$R$5,"")&amp;IF('Tabelle 20'!$C$6=AG21,'Tabelle 20'!$R$6,"")&amp;IF('Tabelle 20'!$C$7=AG21,'Tabelle 20'!$R$7,"")&amp;IF('Tabelle 20'!$C$8=AG21,'Tabelle 20'!$R$8,"")&amp;IF('Tabelle 20'!$C$9=AG21,'Tabelle 20'!$R$9,"")&amp;IF('Tabelle 20'!$C$10=AG21,'Tabelle 20'!$R$10,"")&amp;IF('Tabelle 20'!$C$11=AG21,'Tabelle 20'!$R$11,"")&amp;IF('Tabelle 20'!$C$12=AG21,'Tabelle 20'!$R$12,"")&amp;IF('Tabelle 20'!$C$13=AG21,'Tabelle 20'!$R$13,"")&amp;IF('Tabelle 20'!$C$14=AG21,'Tabelle 20'!$R$14,"")&amp;IF('Tabelle 20'!$C$15=AG21,'Tabelle 20'!$R$15,"")&amp;IF('Tabelle 20'!$C$16=AG21,'Tabelle 20'!$R$16,"")&amp;IF('Tabelle 20'!$C$17=AG21,'Tabelle 20'!$R$17,"")&amp;IF('Tabelle 20'!$C$18=AG21,'Tabelle 20'!$R$18,"")&amp;IF('Tabelle 20'!$C$19=AG21,'Tabelle 20'!$R$19,"")&amp;IF('Tabelle 20'!$C$20=AG21,'Tabelle 20'!$R$20,"")&amp;IF('Tabelle 20'!$C$21=AG21,'Tabelle 20'!$R$21,"")&amp;IF('Tabelle 20'!$C$22=AG21,'Tabelle 20'!$R$22,"")&amp;IF('Tabelle 20'!$C$23=AG21,'Tabelle 20'!$R$23,"")&amp;IF('Tabelle 20'!$C$24=AG21,'Tabelle 20'!$R$24,"")</f>
        <v> </v>
      </c>
      <c r="BE21" s="126">
        <v>17</v>
      </c>
      <c r="BF21" s="3">
        <f>'Tabelle 20'!N21</f>
        <v>0.04</v>
      </c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2:83" ht="24.75" customHeight="1">
      <c r="B22" s="10">
        <v>18</v>
      </c>
      <c r="C22" s="26" t="str">
        <f t="shared" si="0"/>
        <v>Spieler 18</v>
      </c>
      <c r="D22" s="56" t="str">
        <f t="shared" si="1"/>
        <v> </v>
      </c>
      <c r="E22" s="56" t="str">
        <f t="shared" si="2"/>
        <v> </v>
      </c>
      <c r="F22" s="56" t="str">
        <f t="shared" si="3"/>
        <v> </v>
      </c>
      <c r="G22" s="56" t="str">
        <f t="shared" si="4"/>
        <v> </v>
      </c>
      <c r="H22" s="56" t="str">
        <f t="shared" si="5"/>
        <v> </v>
      </c>
      <c r="I22" s="56" t="str">
        <f t="shared" si="6"/>
        <v> </v>
      </c>
      <c r="J22" s="56" t="str">
        <f t="shared" si="7"/>
        <v> </v>
      </c>
      <c r="K22" s="56" t="str">
        <f t="shared" si="8"/>
        <v> </v>
      </c>
      <c r="L22" s="56" t="str">
        <f t="shared" si="9"/>
        <v> </v>
      </c>
      <c r="M22" s="56" t="str">
        <f t="shared" si="10"/>
        <v> </v>
      </c>
      <c r="N22" s="56" t="str">
        <f t="shared" si="11"/>
        <v> </v>
      </c>
      <c r="O22" s="56" t="str">
        <f t="shared" si="12"/>
        <v> </v>
      </c>
      <c r="P22" s="56" t="str">
        <f t="shared" si="13"/>
        <v> </v>
      </c>
      <c r="Q22" s="56" t="str">
        <f t="shared" si="14"/>
        <v> </v>
      </c>
      <c r="R22" s="56" t="str">
        <f t="shared" si="15"/>
        <v> </v>
      </c>
      <c r="S22" s="56" t="str">
        <f t="shared" si="16"/>
        <v> </v>
      </c>
      <c r="T22" s="56" t="str">
        <f t="shared" si="17"/>
        <v> </v>
      </c>
      <c r="U22" s="66" t="str">
        <f t="shared" si="18"/>
        <v> </v>
      </c>
      <c r="V22" s="56" t="str">
        <f t="shared" si="19"/>
        <v> </v>
      </c>
      <c r="W22" s="30" t="str">
        <f t="shared" si="20"/>
        <v> </v>
      </c>
      <c r="X22" s="73" t="str">
        <f t="shared" si="21"/>
        <v> </v>
      </c>
      <c r="Y22" s="71">
        <f t="shared" si="22"/>
      </c>
      <c r="Z22" s="60" t="str">
        <f t="shared" si="23"/>
        <v> </v>
      </c>
      <c r="AA22" s="2"/>
      <c r="AB22" s="2"/>
      <c r="AC22" s="2"/>
      <c r="AD22" s="2"/>
      <c r="AE22" s="2">
        <f t="shared" si="26"/>
        <v>18</v>
      </c>
      <c r="AF22" s="10">
        <v>18</v>
      </c>
      <c r="AG22" s="26" t="str">
        <f>Eingabe!$G$13</f>
        <v>Spieler 18</v>
      </c>
      <c r="AH22" s="56" t="str">
        <f>'20 Spieler'!$O$13</f>
        <v> </v>
      </c>
      <c r="AI22" s="56" t="str">
        <f>'20 Spieler'!$I$48</f>
        <v> </v>
      </c>
      <c r="AJ22" s="56" t="str">
        <f>'20 Spieler'!$G$14</f>
        <v> </v>
      </c>
      <c r="AK22" s="56" t="str">
        <f>'20 Spieler'!$AO$33</f>
        <v> </v>
      </c>
      <c r="AL22" s="56" t="str">
        <f>'20 Spieler'!$AE$57</f>
        <v> </v>
      </c>
      <c r="AM22" s="56" t="str">
        <f>'20 Spieler'!$AG$32</f>
        <v> </v>
      </c>
      <c r="AN22" s="56" t="str">
        <f>'20 Spieler'!$W$58</f>
        <v> </v>
      </c>
      <c r="AO22" s="56" t="str">
        <f>'20 Spieler'!$Y$31</f>
        <v> </v>
      </c>
      <c r="AP22" s="56" t="str">
        <f>'20 Spieler'!$O$59</f>
        <v> </v>
      </c>
      <c r="AQ22" s="56" t="str">
        <f>'20 Spieler'!$Q$30</f>
        <v> </v>
      </c>
      <c r="AR22" s="56" t="str">
        <f>'20 Spieler'!$G$60</f>
        <v> </v>
      </c>
      <c r="AS22" s="56" t="str">
        <f>'20 Spieler'!$I$29</f>
        <v> </v>
      </c>
      <c r="AT22" s="56" t="str">
        <f>'20 Spieler'!$AM$47</f>
        <v> </v>
      </c>
      <c r="AU22" s="56" t="str">
        <f>'20 Spieler'!$AO$14</f>
        <v> </v>
      </c>
      <c r="AV22" s="56" t="str">
        <f>'20 Spieler'!$AE$48</f>
        <v> </v>
      </c>
      <c r="AW22" s="56" t="str">
        <f>'20 Spieler'!$AG$13</f>
        <v> </v>
      </c>
      <c r="AX22" s="56" t="str">
        <f>'20 Spieler'!$W$49</f>
        <v> </v>
      </c>
      <c r="AY22" s="66" t="s">
        <v>28</v>
      </c>
      <c r="AZ22" s="56" t="str">
        <f>'20 Spieler'!$Q$49</f>
        <v> </v>
      </c>
      <c r="BA22" s="30" t="str">
        <f>'20 Spieler'!$W$12</f>
        <v> </v>
      </c>
      <c r="BB22" s="73" t="str">
        <f t="shared" si="24"/>
        <v> </v>
      </c>
      <c r="BC22" s="71">
        <f t="shared" si="25"/>
      </c>
      <c r="BD22" s="60" t="str">
        <f>IF('Tabelle 20'!$C$5=AG22,'Tabelle 20'!$R$5,"")&amp;IF('Tabelle 20'!$C$6=AG22,'Tabelle 20'!$R$6,"")&amp;IF('Tabelle 20'!$C$7=AG22,'Tabelle 20'!$R$7,"")&amp;IF('Tabelle 20'!$C$8=AG22,'Tabelle 20'!$R$8,"")&amp;IF('Tabelle 20'!$C$9=AG22,'Tabelle 20'!$R$9,"")&amp;IF('Tabelle 20'!$C$10=AG22,'Tabelle 20'!$R$10,"")&amp;IF('Tabelle 20'!$C$11=AG22,'Tabelle 20'!$R$11,"")&amp;IF('Tabelle 20'!$C$12=AG22,'Tabelle 20'!$R$12,"")&amp;IF('Tabelle 20'!$C$13=AG22,'Tabelle 20'!$R$13,"")&amp;IF('Tabelle 20'!$C$14=AG22,'Tabelle 20'!$R$14,"")&amp;IF('Tabelle 20'!$C$15=AG22,'Tabelle 20'!$R$15,"")&amp;IF('Tabelle 20'!$C$16=AG22,'Tabelle 20'!$R$16,"")&amp;IF('Tabelle 20'!$C$17=AG22,'Tabelle 20'!$R$17,"")&amp;IF('Tabelle 20'!$C$18=AG22,'Tabelle 20'!$R$18,"")&amp;IF('Tabelle 20'!$C$19=AG22,'Tabelle 20'!$R$19,"")&amp;IF('Tabelle 20'!$C$20=AG22,'Tabelle 20'!$R$20,"")&amp;IF('Tabelle 20'!$C$21=AG22,'Tabelle 20'!$R$21,"")&amp;IF('Tabelle 20'!$C$22=AG22,'Tabelle 20'!$R$22,"")&amp;IF('Tabelle 20'!$C$23=AG22,'Tabelle 20'!$R$23,"")&amp;IF('Tabelle 20'!$C$24=AG22,'Tabelle 20'!$R$24,"")</f>
        <v> </v>
      </c>
      <c r="BE22" s="126">
        <v>18</v>
      </c>
      <c r="BF22" s="3">
        <f>'Tabelle 20'!N22</f>
        <v>0.03</v>
      </c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2:83" ht="24.75" customHeight="1">
      <c r="B23" s="10">
        <v>19</v>
      </c>
      <c r="C23" s="26" t="str">
        <f t="shared" si="0"/>
        <v>Spieler 19</v>
      </c>
      <c r="D23" s="56" t="str">
        <f t="shared" si="1"/>
        <v> </v>
      </c>
      <c r="E23" s="56" t="str">
        <f t="shared" si="2"/>
        <v> </v>
      </c>
      <c r="F23" s="56" t="str">
        <f t="shared" si="3"/>
        <v> </v>
      </c>
      <c r="G23" s="56" t="str">
        <f t="shared" si="4"/>
        <v> </v>
      </c>
      <c r="H23" s="56" t="str">
        <f t="shared" si="5"/>
        <v> </v>
      </c>
      <c r="I23" s="56" t="str">
        <f t="shared" si="6"/>
        <v> </v>
      </c>
      <c r="J23" s="56" t="str">
        <f t="shared" si="7"/>
        <v> </v>
      </c>
      <c r="K23" s="56" t="str">
        <f t="shared" si="8"/>
        <v> </v>
      </c>
      <c r="L23" s="56" t="str">
        <f t="shared" si="9"/>
        <v> </v>
      </c>
      <c r="M23" s="56" t="str">
        <f t="shared" si="10"/>
        <v> </v>
      </c>
      <c r="N23" s="56" t="str">
        <f t="shared" si="11"/>
        <v> </v>
      </c>
      <c r="O23" s="56" t="str">
        <f t="shared" si="12"/>
        <v> </v>
      </c>
      <c r="P23" s="56" t="str">
        <f t="shared" si="13"/>
        <v> </v>
      </c>
      <c r="Q23" s="56" t="str">
        <f t="shared" si="14"/>
        <v> </v>
      </c>
      <c r="R23" s="56" t="str">
        <f t="shared" si="15"/>
        <v> </v>
      </c>
      <c r="S23" s="56" t="str">
        <f t="shared" si="16"/>
        <v> </v>
      </c>
      <c r="T23" s="56" t="str">
        <f t="shared" si="17"/>
        <v> </v>
      </c>
      <c r="U23" s="56" t="str">
        <f t="shared" si="18"/>
        <v> </v>
      </c>
      <c r="V23" s="66" t="str">
        <f t="shared" si="19"/>
        <v> </v>
      </c>
      <c r="W23" s="30" t="str">
        <f t="shared" si="20"/>
        <v> </v>
      </c>
      <c r="X23" s="73" t="str">
        <f t="shared" si="21"/>
        <v> </v>
      </c>
      <c r="Y23" s="71">
        <f t="shared" si="22"/>
      </c>
      <c r="Z23" s="60" t="str">
        <f t="shared" si="23"/>
        <v> </v>
      </c>
      <c r="AA23" s="2"/>
      <c r="AB23" s="2"/>
      <c r="AC23" s="2"/>
      <c r="AD23" s="2"/>
      <c r="AE23" s="2">
        <f t="shared" si="26"/>
        <v>19</v>
      </c>
      <c r="AF23" s="10">
        <v>19</v>
      </c>
      <c r="AG23" s="26" t="str">
        <f>Eingabe!$G$14</f>
        <v>Spieler 19</v>
      </c>
      <c r="AH23" s="56" t="str">
        <f>'20 Spieler'!$I$49</f>
        <v> </v>
      </c>
      <c r="AI23" s="56" t="str">
        <f>'20 Spieler'!$G$13</f>
        <v> </v>
      </c>
      <c r="AJ23" s="56" t="str">
        <f>'20 Spieler'!$AO$34</f>
        <v> </v>
      </c>
      <c r="AK23" s="56" t="str">
        <f>'20 Spieler'!$AE$56</f>
        <v> </v>
      </c>
      <c r="AL23" s="56" t="str">
        <f>'20 Spieler'!$AG$33</f>
        <v> </v>
      </c>
      <c r="AM23" s="56" t="str">
        <f>'20 Spieler'!$W$57</f>
        <v> </v>
      </c>
      <c r="AN23" s="56" t="str">
        <f>'20 Spieler'!$Y$32</f>
        <v> </v>
      </c>
      <c r="AO23" s="56" t="str">
        <f>'20 Spieler'!$O$58</f>
        <v> </v>
      </c>
      <c r="AP23" s="56" t="str">
        <f>'20 Spieler'!$Q$31</f>
        <v> </v>
      </c>
      <c r="AQ23" s="56" t="str">
        <f>'20 Spieler'!$G$59</f>
        <v> </v>
      </c>
      <c r="AR23" s="56" t="str">
        <f>'20 Spieler'!$I$30</f>
        <v> </v>
      </c>
      <c r="AS23" s="56" t="str">
        <f>'20 Spieler'!$AM$46</f>
        <v> </v>
      </c>
      <c r="AT23" s="56" t="str">
        <f>'20 Spieler'!$AO$15</f>
        <v> </v>
      </c>
      <c r="AU23" s="56" t="str">
        <f>'20 Spieler'!$AE$47</f>
        <v> </v>
      </c>
      <c r="AV23" s="56" t="str">
        <f>'20 Spieler'!$AG$14</f>
        <v> </v>
      </c>
      <c r="AW23" s="56" t="str">
        <f>'20 Spieler'!$W$48</f>
        <v> </v>
      </c>
      <c r="AX23" s="56" t="str">
        <f>'20 Spieler'!$Y$13</f>
        <v> </v>
      </c>
      <c r="AY23" s="56" t="str">
        <f>'20 Spieler'!$O$49</f>
        <v> </v>
      </c>
      <c r="AZ23" s="66" t="s">
        <v>28</v>
      </c>
      <c r="BA23" s="30" t="str">
        <f>'20 Spieler'!$O$12</f>
        <v> </v>
      </c>
      <c r="BB23" s="73" t="str">
        <f t="shared" si="24"/>
        <v> </v>
      </c>
      <c r="BC23" s="71">
        <f t="shared" si="25"/>
      </c>
      <c r="BD23" s="60" t="str">
        <f>IF('Tabelle 20'!$C$5=AG23,'Tabelle 20'!$R$5,"")&amp;IF('Tabelle 20'!$C$6=AG23,'Tabelle 20'!$R$6,"")&amp;IF('Tabelle 20'!$C$7=AG23,'Tabelle 20'!$R$7,"")&amp;IF('Tabelle 20'!$C$8=AG23,'Tabelle 20'!$R$8,"")&amp;IF('Tabelle 20'!$C$9=AG23,'Tabelle 20'!$R$9,"")&amp;IF('Tabelle 20'!$C$10=AG23,'Tabelle 20'!$R$10,"")&amp;IF('Tabelle 20'!$C$11=AG23,'Tabelle 20'!$R$11,"")&amp;IF('Tabelle 20'!$C$12=AG23,'Tabelle 20'!$R$12,"")&amp;IF('Tabelle 20'!$C$13=AG23,'Tabelle 20'!$R$13,"")&amp;IF('Tabelle 20'!$C$14=AG23,'Tabelle 20'!$R$14,"")&amp;IF('Tabelle 20'!$C$15=AG23,'Tabelle 20'!$R$15,"")&amp;IF('Tabelle 20'!$C$16=AG23,'Tabelle 20'!$R$16,"")&amp;IF('Tabelle 20'!$C$17=AG23,'Tabelle 20'!$R$17,"")&amp;IF('Tabelle 20'!$C$18=AG23,'Tabelle 20'!$R$18,"")&amp;IF('Tabelle 20'!$C$19=AG23,'Tabelle 20'!$R$19,"")&amp;IF('Tabelle 20'!$C$20=AG23,'Tabelle 20'!$R$20,"")&amp;IF('Tabelle 20'!$C$21=AG23,'Tabelle 20'!$R$21,"")&amp;IF('Tabelle 20'!$C$22=AG23,'Tabelle 20'!$R$22,"")&amp;IF('Tabelle 20'!$C$23=AG23,'Tabelle 20'!$R$23,"")&amp;IF('Tabelle 20'!$C$24=AG23,'Tabelle 20'!$R$24,"")</f>
        <v> </v>
      </c>
      <c r="BE23" s="126">
        <v>19</v>
      </c>
      <c r="BF23" s="3">
        <f>'Tabelle 20'!N23</f>
        <v>0.02</v>
      </c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2:83" ht="24.75" customHeight="1" thickBot="1">
      <c r="B24" s="25">
        <v>20</v>
      </c>
      <c r="C24" s="27" t="str">
        <f t="shared" si="0"/>
        <v>Spieler 20 / spielfrei</v>
      </c>
      <c r="D24" s="57" t="str">
        <f t="shared" si="1"/>
        <v> </v>
      </c>
      <c r="E24" s="57" t="str">
        <f t="shared" si="2"/>
        <v> </v>
      </c>
      <c r="F24" s="57" t="str">
        <f t="shared" si="3"/>
        <v> </v>
      </c>
      <c r="G24" s="57" t="str">
        <f t="shared" si="4"/>
        <v> </v>
      </c>
      <c r="H24" s="57" t="str">
        <f t="shared" si="5"/>
        <v> </v>
      </c>
      <c r="I24" s="57" t="str">
        <f t="shared" si="6"/>
        <v> </v>
      </c>
      <c r="J24" s="57" t="str">
        <f t="shared" si="7"/>
        <v> </v>
      </c>
      <c r="K24" s="57" t="str">
        <f t="shared" si="8"/>
        <v> </v>
      </c>
      <c r="L24" s="57" t="str">
        <f t="shared" si="9"/>
        <v> </v>
      </c>
      <c r="M24" s="57" t="str">
        <f t="shared" si="10"/>
        <v> </v>
      </c>
      <c r="N24" s="57" t="str">
        <f t="shared" si="11"/>
        <v> </v>
      </c>
      <c r="O24" s="57" t="str">
        <f t="shared" si="12"/>
        <v> </v>
      </c>
      <c r="P24" s="57" t="str">
        <f t="shared" si="13"/>
        <v> </v>
      </c>
      <c r="Q24" s="57" t="str">
        <f t="shared" si="14"/>
        <v> </v>
      </c>
      <c r="R24" s="57" t="str">
        <f t="shared" si="15"/>
        <v> </v>
      </c>
      <c r="S24" s="57" t="str">
        <f t="shared" si="16"/>
        <v> </v>
      </c>
      <c r="T24" s="57" t="str">
        <f t="shared" si="17"/>
        <v> </v>
      </c>
      <c r="U24" s="57" t="str">
        <f t="shared" si="18"/>
        <v> </v>
      </c>
      <c r="V24" s="57" t="str">
        <f t="shared" si="19"/>
        <v> </v>
      </c>
      <c r="W24" s="67" t="str">
        <f t="shared" si="20"/>
        <v> </v>
      </c>
      <c r="X24" s="74" t="str">
        <f t="shared" si="21"/>
        <v> </v>
      </c>
      <c r="Y24" s="72">
        <f t="shared" si="22"/>
      </c>
      <c r="Z24" s="61" t="str">
        <f t="shared" si="23"/>
        <v> </v>
      </c>
      <c r="AA24" s="2"/>
      <c r="AB24" s="2"/>
      <c r="AC24" s="2"/>
      <c r="AD24" s="2"/>
      <c r="AE24" s="2">
        <f t="shared" si="26"/>
        <v>20</v>
      </c>
      <c r="AF24" s="25">
        <v>20</v>
      </c>
      <c r="AG24" s="27" t="str">
        <f>Eingabe!$G$15</f>
        <v>Spieler 20 / spielfrei</v>
      </c>
      <c r="AH24" s="57" t="str">
        <f>'20 Spieler'!$I$12</f>
        <v> </v>
      </c>
      <c r="AI24" s="57" t="str">
        <f>'20 Spieler'!$AG$54</f>
        <v> </v>
      </c>
      <c r="AJ24" s="57" t="str">
        <f>'20 Spieler'!$Y$54</f>
        <v> </v>
      </c>
      <c r="AK24" s="57" t="str">
        <f>'20 Spieler'!$Q$54</f>
        <v> </v>
      </c>
      <c r="AL24" s="57" t="str">
        <f>'20 Spieler'!$I$54</f>
        <v> </v>
      </c>
      <c r="AM24" s="57" t="str">
        <f>'20 Spieler'!$AO$40</f>
        <v> </v>
      </c>
      <c r="AN24" s="57" t="str">
        <f>'20 Spieler'!$AG$40</f>
        <v> </v>
      </c>
      <c r="AO24" s="57" t="str">
        <f>'20 Spieler'!$Y$40</f>
        <v> </v>
      </c>
      <c r="AP24" s="57" t="str">
        <f>'20 Spieler'!$Q$40</f>
        <v> </v>
      </c>
      <c r="AQ24" s="57" t="str">
        <f>'20 Spieler'!$I$40</f>
        <v> </v>
      </c>
      <c r="AR24" s="57" t="str">
        <f>'20 Spieler'!$AO$26</f>
        <v> </v>
      </c>
      <c r="AS24" s="57" t="str">
        <f>'20 Spieler'!$AG$26</f>
        <v> </v>
      </c>
      <c r="AT24" s="57" t="str">
        <f>'20 Spieler'!$Y$26</f>
        <v> </v>
      </c>
      <c r="AU24" s="57" t="str">
        <f>'20 Spieler'!$Q$26</f>
        <v> </v>
      </c>
      <c r="AV24" s="57" t="str">
        <f>'20 Spieler'!$I$26</f>
        <v> </v>
      </c>
      <c r="AW24" s="57" t="str">
        <f>'20 Spieler'!$AO$12</f>
        <v> </v>
      </c>
      <c r="AX24" s="57" t="str">
        <f>'20 Spieler'!$AG$12</f>
        <v> </v>
      </c>
      <c r="AY24" s="57" t="str">
        <f>'20 Spieler'!$Y$12</f>
        <v> </v>
      </c>
      <c r="AZ24" s="57" t="str">
        <f>'20 Spieler'!$Q$12</f>
        <v> </v>
      </c>
      <c r="BA24" s="67" t="s">
        <v>28</v>
      </c>
      <c r="BB24" s="74" t="str">
        <f t="shared" si="24"/>
        <v> </v>
      </c>
      <c r="BC24" s="72">
        <f t="shared" si="25"/>
      </c>
      <c r="BD24" s="61" t="str">
        <f>IF('Tabelle 20'!$C$5=AG24,'Tabelle 20'!$R$5,"")&amp;IF('Tabelle 20'!$C$6=AG24,'Tabelle 20'!$R$6,"")&amp;IF('Tabelle 20'!$C$7=AG24,'Tabelle 20'!$R$7,"")&amp;IF('Tabelle 20'!$C$8=AG24,'Tabelle 20'!$R$8,"")&amp;IF('Tabelle 20'!$C$9=AG24,'Tabelle 20'!$R$9,"")&amp;IF('Tabelle 20'!$C$10=AG24,'Tabelle 20'!$R$10,"")&amp;IF('Tabelle 20'!$C$11=AG24,'Tabelle 20'!$R$11,"")&amp;IF('Tabelle 20'!$C$12=AG24,'Tabelle 20'!$R$12,"")&amp;IF('Tabelle 20'!$C$13=AG24,'Tabelle 20'!$R$13,"")&amp;IF('Tabelle 20'!$C$14=AG24,'Tabelle 20'!$R$14,"")&amp;IF('Tabelle 20'!$C$15=AG24,'Tabelle 20'!$R$15,"")&amp;IF('Tabelle 20'!$C$16=AG24,'Tabelle 20'!$R$16,"")&amp;IF('Tabelle 20'!$C$17=AG24,'Tabelle 20'!$R$17,"")&amp;IF('Tabelle 20'!$C$18=AG24,'Tabelle 20'!$R$18,"")&amp;IF('Tabelle 20'!$C$19=AG24,'Tabelle 20'!$R$19,"")&amp;IF('Tabelle 20'!$C$20=AG24,'Tabelle 20'!$R$20,"")&amp;IF('Tabelle 20'!$C$21=AG24,'Tabelle 20'!$R$21,"")&amp;IF('Tabelle 20'!$C$22=AG24,'Tabelle 20'!$R$22,"")&amp;IF('Tabelle 20'!$C$23=AG24,'Tabelle 20'!$R$23,"")&amp;IF('Tabelle 20'!$C$24=AG24,'Tabelle 20'!$R$24,"")</f>
        <v> </v>
      </c>
      <c r="BE24" s="126">
        <v>20</v>
      </c>
      <c r="BF24" s="3">
        <f>'Tabelle 20'!N24</f>
        <v>0.01</v>
      </c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3:83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AA25" s="2"/>
      <c r="AB25" s="2"/>
      <c r="AC25" s="2"/>
      <c r="AD25" s="2"/>
      <c r="AE25" s="2"/>
      <c r="AF25" s="3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4"/>
      <c r="BA25" s="4"/>
      <c r="BB25" s="4"/>
      <c r="BC25" s="4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3:83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AA26" s="2"/>
      <c r="AB26" s="2"/>
      <c r="AC26" s="2"/>
      <c r="AD26" s="2"/>
      <c r="AE26" s="2"/>
      <c r="AF26" s="3"/>
      <c r="AG26" s="2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3:83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AA27" s="2"/>
      <c r="AB27" s="2"/>
      <c r="AC27" s="2"/>
      <c r="AD27" s="2"/>
      <c r="AE27" s="2"/>
      <c r="AF27" s="3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2:56" ht="24.75" customHeight="1">
      <c r="B28" s="78" t="str">
        <f>Eingabe!$G$3</f>
        <v>z. B. Monatsblitzturnier</v>
      </c>
      <c r="C28" s="12"/>
      <c r="D28" s="17"/>
      <c r="E28" s="17"/>
      <c r="F28" s="12"/>
      <c r="G28" s="32"/>
      <c r="H28" s="17"/>
      <c r="I28" s="17"/>
      <c r="J28" s="17"/>
      <c r="K28" s="17"/>
      <c r="L28" s="17"/>
      <c r="M28" s="17"/>
      <c r="N28" s="17"/>
      <c r="O28" s="17"/>
      <c r="P28" s="12"/>
      <c r="Q28" s="12"/>
      <c r="R28" s="12"/>
      <c r="S28" s="12"/>
      <c r="T28" s="12"/>
      <c r="U28" s="12"/>
      <c r="V28" s="12"/>
      <c r="W28" s="12"/>
      <c r="Y28" s="33" t="s">
        <v>22</v>
      </c>
      <c r="Z28" s="34" t="str">
        <f>Eingabe!G2</f>
        <v>??.??.????</v>
      </c>
      <c r="AF28" s="78"/>
      <c r="AG28" s="12"/>
      <c r="AH28" s="17"/>
      <c r="AI28" s="17"/>
      <c r="AJ28" s="12"/>
      <c r="AK28" s="32"/>
      <c r="AL28" s="17"/>
      <c r="AM28" s="17"/>
      <c r="AN28" s="17"/>
      <c r="AO28" s="17"/>
      <c r="AP28" s="17"/>
      <c r="AQ28" s="17"/>
      <c r="AR28" s="17"/>
      <c r="AS28" s="17"/>
      <c r="AT28" s="12"/>
      <c r="AU28" s="12"/>
      <c r="AV28" s="12"/>
      <c r="AW28" s="12"/>
      <c r="AX28" s="12"/>
      <c r="AY28" s="12"/>
      <c r="AZ28" s="12"/>
      <c r="BA28" s="12"/>
      <c r="BC28" s="33"/>
      <c r="BD28" s="34"/>
    </row>
    <row r="29" spans="2:57" s="19" customFormat="1" ht="18.75" thickBot="1">
      <c r="B29" s="2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E29" s="100"/>
      <c r="AF29" s="101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00"/>
    </row>
    <row r="30" spans="1:83" s="8" customFormat="1" ht="24.75" customHeight="1" thickBot="1">
      <c r="A30" s="6"/>
      <c r="B30" s="21" t="s">
        <v>44</v>
      </c>
      <c r="C30" s="22" t="s">
        <v>45</v>
      </c>
      <c r="D30" s="24">
        <v>1</v>
      </c>
      <c r="E30" s="24">
        <v>2</v>
      </c>
      <c r="F30" s="24">
        <v>3</v>
      </c>
      <c r="G30" s="24">
        <v>4</v>
      </c>
      <c r="H30" s="24">
        <v>5</v>
      </c>
      <c r="I30" s="24">
        <v>6</v>
      </c>
      <c r="J30" s="24">
        <v>7</v>
      </c>
      <c r="K30" s="24">
        <v>8</v>
      </c>
      <c r="L30" s="24">
        <v>9</v>
      </c>
      <c r="M30" s="24">
        <v>10</v>
      </c>
      <c r="N30" s="24">
        <v>11</v>
      </c>
      <c r="O30" s="24">
        <v>12</v>
      </c>
      <c r="P30" s="24">
        <v>13</v>
      </c>
      <c r="Q30" s="24">
        <v>14</v>
      </c>
      <c r="R30" s="24">
        <v>15</v>
      </c>
      <c r="S30" s="24">
        <v>16</v>
      </c>
      <c r="T30" s="24">
        <v>17</v>
      </c>
      <c r="U30" s="24">
        <v>18</v>
      </c>
      <c r="V30" s="24">
        <v>19</v>
      </c>
      <c r="W30" s="28">
        <v>20</v>
      </c>
      <c r="X30" s="21" t="s">
        <v>46</v>
      </c>
      <c r="Y30" s="52" t="s">
        <v>47</v>
      </c>
      <c r="Z30" s="23" t="s">
        <v>48</v>
      </c>
      <c r="AA30" s="9"/>
      <c r="AB30" s="9"/>
      <c r="AC30" s="9"/>
      <c r="AD30" s="9"/>
      <c r="AE30" s="9"/>
      <c r="AF30" s="29"/>
      <c r="AG30" s="29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29"/>
      <c r="BC30" s="88"/>
      <c r="BD30" s="2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</row>
    <row r="31" spans="2:83" ht="24.75" customHeight="1">
      <c r="B31" s="10">
        <v>1</v>
      </c>
      <c r="C31" s="26" t="str">
        <f>Eingabe!$C$6</f>
        <v>Spieler 1</v>
      </c>
      <c r="D31" s="66"/>
      <c r="E31" s="56" t="str">
        <f>'20 Spieler'!$AO$35</f>
        <v> </v>
      </c>
      <c r="F31" s="56" t="str">
        <f>'20 Spieler'!$AE$55</f>
        <v> </v>
      </c>
      <c r="G31" s="56" t="str">
        <f>'20 Spieler'!$AG$34</f>
        <v> </v>
      </c>
      <c r="H31" s="56" t="str">
        <f>'20 Spieler'!$W$56</f>
        <v> </v>
      </c>
      <c r="I31" s="56" t="str">
        <f>'20 Spieler'!$Y$33</f>
        <v> </v>
      </c>
      <c r="J31" s="56" t="str">
        <f>'20 Spieler'!$O$57</f>
        <v> </v>
      </c>
      <c r="K31" s="56" t="str">
        <f>'20 Spieler'!$Q$32</f>
        <v> </v>
      </c>
      <c r="L31" s="56" t="str">
        <f>'20 Spieler'!$G$58</f>
        <v> </v>
      </c>
      <c r="M31" s="56" t="str">
        <f>'20 Spieler'!$I$31</f>
        <v> </v>
      </c>
      <c r="N31" s="56" t="str">
        <f>'20 Spieler'!$AM$45</f>
        <v> </v>
      </c>
      <c r="O31" s="56" t="str">
        <f>'20 Spieler'!$AO$16</f>
        <v> </v>
      </c>
      <c r="P31" s="56" t="str">
        <f>'20 Spieler'!$AE$46</f>
        <v> </v>
      </c>
      <c r="Q31" s="56" t="str">
        <f>'20 Spieler'!$AG$15</f>
        <v> </v>
      </c>
      <c r="R31" s="56" t="str">
        <f>'20 Spieler'!$W$47</f>
        <v> </v>
      </c>
      <c r="S31" s="56" t="str">
        <f>'20 Spieler'!$Y$14</f>
        <v> </v>
      </c>
      <c r="T31" s="56" t="str">
        <f>'20 Spieler'!$O$48</f>
        <v> </v>
      </c>
      <c r="U31" s="56" t="str">
        <f>'20 Spieler'!$Q$13</f>
        <v> </v>
      </c>
      <c r="V31" s="56" t="str">
        <f>'20 Spieler'!$G$49</f>
        <v> </v>
      </c>
      <c r="W31" s="30" t="str">
        <f>'20 Spieler'!$G$12</f>
        <v> </v>
      </c>
      <c r="X31" s="73" t="str">
        <f aca="true" t="shared" si="27" ref="X31:X49">IF(COUNT($D$50,$E$49,$F$48,$G$47,$H$46,$I$45,$J$44,$K$43,$L$42,$M$41,$N$40,$O$39,$P$38,$Q$37,$R$36,$S$35,$T$34,$U$33,$V$32,$W$31)&gt;0,SUM(D31:W31)," ")</f>
        <v> </v>
      </c>
      <c r="Y31" s="71">
        <f aca="true" t="shared" si="28" ref="Y31:Y50">IF(COUNT($D$50,$E$49,$F$48,$G$47,$H$46,$I$45,$J$44,$K$43,$L$42,$M$41,$N$40,$O$39,$P$38,$Q$37,$R$36,$S$35,$T$34,$U$33,$V$32,$W$31)&gt;0,IF(OR(D31=1,D31=0.5),D31*$X$31,0)+IF(OR(E31=1,E31=0.5),E31*$X$32,0)+IF(OR(F31=1,F31=0.5),F31*$X$33,0)+IF(OR(G31=1,G31=0.5),G31*$X$34,0)+IF(OR(H31=1,H31=0.5),H31*$X$35,0)+IF(OR(I31=1,I31=0.5),I31*$X$36,0)+IF(OR(J31=1,J31=0.5),J31*$X$37,0)+IF(OR(K31=1,K31=0.5),K31*$X$38,0)+IF(OR(L31=1,L31=0.5),L31*$X$39,0)+IF(OR(M31=1,M31=0.5),M31*$X$40,0)+IF(OR(N31=1,N31=0.5),N31*$X$41,0)+IF(OR(O31=1,O31=0.5),O31*$X$42,0)+IF(OR(P31=1,P31=0.5),P31*$X$43,0)+IF(OR(Q31=1,Q31=0.5),Q31*$X$44,0)+IF(OR(R31=1,R31=0.5),R31*$X$45,0)+IF(OR(S31=1,S31=0.5),S31*$X$46,0)+IF(OR(T31=1,T31=0.5),T31*$X$47,0)+IF(OR(U31=1,U31=0.5),U31*$X$48,0)+IF(OR(V31=1,V31=0.5),V31*$X$49,0)+IF(OR(W31=1,W31=0.5),W31*$X$50,0),"")</f>
      </c>
      <c r="Z31" s="60" t="str">
        <f>IF('Tabelle 20'!$C$5=C31,'Tabelle 20'!$R$5,"")&amp;IF('Tabelle 20'!$C$6=C31,'Tabelle 20'!$R$6,"")&amp;IF('Tabelle 20'!$C$7=C31,'Tabelle 20'!$R$7,"")&amp;IF('Tabelle 20'!$C$8=C31,'Tabelle 20'!$R$8,"")&amp;IF('Tabelle 20'!$C$9=C31,'Tabelle 20'!$R$9,"")&amp;IF('Tabelle 20'!$C$10=C31,'Tabelle 20'!$R$10,"")&amp;IF('Tabelle 20'!$C$11=C31,'Tabelle 20'!$R$11,"")&amp;IF('Tabelle 20'!$C$12=C31,'Tabelle 20'!$R$12,"")&amp;IF('Tabelle 20'!$C$13=C31,'Tabelle 20'!$R$13,"")&amp;IF('Tabelle 20'!$C$14=C31,'Tabelle 20'!$R$14,"")&amp;IF('Tabelle 20'!$C$15=C31,'Tabelle 20'!$R$15,"")&amp;IF('Tabelle 20'!$C$16=C31,'Tabelle 20'!$R$16,"")&amp;IF('Tabelle 20'!$C$17=C31,'Tabelle 20'!$R$17,"")&amp;IF('Tabelle 20'!$C$18=C31,'Tabelle 20'!$R$18,"")&amp;IF('Tabelle 20'!$C$19=C31,'Tabelle 20'!$R$19,"")&amp;IF('Tabelle 20'!$C$20=C31,'Tabelle 20'!$R$20,"")&amp;IF('Tabelle 20'!$C$21=C31,'Tabelle 20'!$R$21,"")&amp;IF('Tabelle 20'!$C$22=C31,'Tabelle 20'!$R$22,"")&amp;IF('Tabelle 20'!$C$23=C31,'Tabelle 20'!$R$23,"")&amp;IF('Tabelle 20'!$C$24=C31,'Tabelle 20'!$R$24,"")</f>
        <v> </v>
      </c>
      <c r="AA31" s="2"/>
      <c r="AB31" s="2"/>
      <c r="AC31" s="2"/>
      <c r="AD31" s="2"/>
      <c r="AE31" s="2"/>
      <c r="AF31" s="103">
        <f>VLOOKUP($BE5,$AE$5:$BD$24,2,FALSE)</f>
        <v>1</v>
      </c>
      <c r="AG31" s="104" t="str">
        <f>VLOOKUP($BE5,$AE$5:$BD$24,3,FALSE)</f>
        <v>Spieler 1</v>
      </c>
      <c r="AH31" s="105" t="str">
        <f>VLOOKUP($BE5,$AE$5:$BD$24,4,FALSE)</f>
        <v> </v>
      </c>
      <c r="AI31" s="105" t="str">
        <f>VLOOKUP($BE5,$AE$5:$BD$24,5,FALSE)</f>
        <v> </v>
      </c>
      <c r="AJ31" s="105" t="str">
        <f>VLOOKUP($BE5,$AE$5:$BD$24,6,FALSE)</f>
        <v> </v>
      </c>
      <c r="AK31" s="105" t="str">
        <f>VLOOKUP($BE5,$AE$5:$BD$24,7,FALSE)</f>
        <v> </v>
      </c>
      <c r="AL31" s="105" t="str">
        <f>VLOOKUP($BE5,$AE$5:$BD$24,8,FALSE)</f>
        <v> </v>
      </c>
      <c r="AM31" s="105" t="str">
        <f>VLOOKUP($BE5,$AE$5:$BD$24,9,FALSE)</f>
        <v> </v>
      </c>
      <c r="AN31" s="105" t="str">
        <f>VLOOKUP($BE5,$AE$5:$BD$24,10,FALSE)</f>
        <v> </v>
      </c>
      <c r="AO31" s="105" t="str">
        <f>VLOOKUP($BE5,$AE$5:$BD$24,11,FALSE)</f>
        <v> </v>
      </c>
      <c r="AP31" s="105" t="str">
        <f>VLOOKUP($BE5,$AE$5:$BD$24,12,FALSE)</f>
        <v> </v>
      </c>
      <c r="AQ31" s="105" t="str">
        <f>VLOOKUP($BE5,$AE$5:$BD$24,13,FALSE)</f>
        <v> </v>
      </c>
      <c r="AR31" s="105" t="str">
        <f>VLOOKUP($BE5,$AE$5:$BD$24,14,FALSE)</f>
        <v> </v>
      </c>
      <c r="AS31" s="105" t="str">
        <f>VLOOKUP($BE5,$AE$5:$BD$24,15,FALSE)</f>
        <v> </v>
      </c>
      <c r="AT31" s="105" t="str">
        <f>VLOOKUP($BE5,$AE$5:$BD$24,16,FALSE)</f>
        <v> </v>
      </c>
      <c r="AU31" s="105" t="str">
        <f>VLOOKUP($BE5,$AE$5:$BD$24,17,FALSE)</f>
        <v> </v>
      </c>
      <c r="AV31" s="105" t="str">
        <f>VLOOKUP($BE5,$AE$5:$BD$24,18,FALSE)</f>
        <v> </v>
      </c>
      <c r="AW31" s="105" t="str">
        <f>VLOOKUP($BE5,$AE$5:$BD$24,19,FALSE)</f>
        <v> </v>
      </c>
      <c r="AX31" s="105" t="str">
        <f>VLOOKUP($BE5,$AE$5:$BD$24,20,FALSE)</f>
        <v> </v>
      </c>
      <c r="AY31" s="105" t="str">
        <f>VLOOKUP($BE5,$AE$5:$BD$24,21,FALSE)</f>
        <v> </v>
      </c>
      <c r="AZ31" s="105" t="str">
        <f>VLOOKUP($BE5,$AE$5:$BD$24,22,FALSE)</f>
        <v> </v>
      </c>
      <c r="BA31" s="106" t="str">
        <f>VLOOKUP($BE5,$AE$5:$BD$24,23,FALSE)</f>
        <v> </v>
      </c>
      <c r="BB31" s="107" t="str">
        <f>VLOOKUP($BE5,$AE$5:$BD$24,24,FALSE)</f>
        <v> </v>
      </c>
      <c r="BC31" s="108">
        <f>VLOOKUP($BE5,$AE$5:$BD$24,25,FALSE)</f>
      </c>
      <c r="BD31" s="109" t="str">
        <f>VLOOKUP($BE5,$AE$5:$BD$24,26,FALSE)</f>
        <v> </v>
      </c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2:83" ht="24.75" customHeight="1">
      <c r="B32" s="10">
        <v>2</v>
      </c>
      <c r="C32" s="26" t="str">
        <f>Eingabe!$C$7</f>
        <v>Spieler 2</v>
      </c>
      <c r="D32" s="56" t="str">
        <f>'20 Spieler'!$AM$35</f>
        <v> </v>
      </c>
      <c r="E32" s="66"/>
      <c r="F32" s="56" t="str">
        <f>'20 Spieler'!$AG$35</f>
        <v> </v>
      </c>
      <c r="G32" s="56" t="str">
        <f>'20 Spieler'!$W$55</f>
        <v> </v>
      </c>
      <c r="H32" s="56" t="str">
        <f>'20 Spieler'!$Y$34</f>
        <v> </v>
      </c>
      <c r="I32" s="56" t="str">
        <f>'20 Spieler'!$O$56</f>
        <v> </v>
      </c>
      <c r="J32" s="56" t="str">
        <f>'20 Spieler'!$Q$33</f>
        <v> </v>
      </c>
      <c r="K32" s="56" t="str">
        <f>'20 Spieler'!$G$57</f>
        <v> </v>
      </c>
      <c r="L32" s="56" t="str">
        <f>'20 Spieler'!$I$32</f>
        <v> </v>
      </c>
      <c r="M32" s="56" t="str">
        <f>'20 Spieler'!$AM$44</f>
        <v> </v>
      </c>
      <c r="N32" s="56" t="str">
        <f>'20 Spieler'!$AO$17</f>
        <v> </v>
      </c>
      <c r="O32" s="56" t="str">
        <f>'20 Spieler'!$AE$45</f>
        <v> </v>
      </c>
      <c r="P32" s="56" t="str">
        <f>'20 Spieler'!$AG$16</f>
        <v> </v>
      </c>
      <c r="Q32" s="56" t="str">
        <f>'20 Spieler'!$W$46</f>
        <v> </v>
      </c>
      <c r="R32" s="56" t="str">
        <f>'20 Spieler'!$Y$15</f>
        <v> </v>
      </c>
      <c r="S32" s="56" t="str">
        <f>'20 Spieler'!$O$47</f>
        <v> </v>
      </c>
      <c r="T32" s="56" t="str">
        <f>'20 Spieler'!$Q$14</f>
        <v> </v>
      </c>
      <c r="U32" s="56" t="str">
        <f>'20 Spieler'!$G$48</f>
        <v> </v>
      </c>
      <c r="V32" s="56" t="str">
        <f>'20 Spieler'!$I$13</f>
        <v> </v>
      </c>
      <c r="W32" s="30" t="str">
        <f>'20 Spieler'!$AE$54</f>
        <v> </v>
      </c>
      <c r="X32" s="73" t="str">
        <f t="shared" si="27"/>
        <v> </v>
      </c>
      <c r="Y32" s="71">
        <f t="shared" si="28"/>
      </c>
      <c r="Z32" s="60" t="str">
        <f>IF('Tabelle 20'!$C$5=C32,'Tabelle 20'!$R$5,"")&amp;IF('Tabelle 20'!$C$6=C32,'Tabelle 20'!$R$6,"")&amp;IF('Tabelle 20'!$C$7=C32,'Tabelle 20'!$R$7,"")&amp;IF('Tabelle 20'!$C$8=C32,'Tabelle 20'!$R$8,"")&amp;IF('Tabelle 20'!$C$9=C32,'Tabelle 20'!$R$9,"")&amp;IF('Tabelle 20'!$C$10=C32,'Tabelle 20'!$R$10,"")&amp;IF('Tabelle 20'!$C$11=C32,'Tabelle 20'!$R$11,"")&amp;IF('Tabelle 20'!$C$12=C32,'Tabelle 20'!$R$12,"")&amp;IF('Tabelle 20'!$C$13=C32,'Tabelle 20'!$R$13,"")&amp;IF('Tabelle 20'!$C$14=C32,'Tabelle 20'!$R$14,"")&amp;IF('Tabelle 20'!$C$15=C32,'Tabelle 20'!$R$15,"")&amp;IF('Tabelle 20'!$C$16=C32,'Tabelle 20'!$R$16,"")&amp;IF('Tabelle 20'!$C$17=C32,'Tabelle 20'!$R$17,"")&amp;IF('Tabelle 20'!$C$18=C32,'Tabelle 20'!$R$18,"")&amp;IF('Tabelle 20'!$C$19=C32,'Tabelle 20'!$R$19,"")&amp;IF('Tabelle 20'!$C$20=C32,'Tabelle 20'!$R$20,"")&amp;IF('Tabelle 20'!$C$21=C32,'Tabelle 20'!$R$21,"")&amp;IF('Tabelle 20'!$C$22=C32,'Tabelle 20'!$R$22,"")&amp;IF('Tabelle 20'!$C$23=C32,'Tabelle 20'!$R$23,"")&amp;IF('Tabelle 20'!$C$24=C32,'Tabelle 20'!$R$24,"")</f>
        <v> </v>
      </c>
      <c r="AA32" s="2"/>
      <c r="AB32" s="2"/>
      <c r="AC32" s="2"/>
      <c r="AD32" s="2"/>
      <c r="AE32" s="2"/>
      <c r="AF32" s="110">
        <f aca="true" t="shared" si="29" ref="AF32:AF50">VLOOKUP($BE6,$AE$5:$BD$24,2,FALSE)</f>
        <v>2</v>
      </c>
      <c r="AG32" s="111" t="str">
        <f aca="true" t="shared" si="30" ref="AG32:AG50">VLOOKUP($BE6,$AE$5:$BD$24,3,FALSE)</f>
        <v>Spieler 2</v>
      </c>
      <c r="AH32" s="112" t="str">
        <f aca="true" t="shared" si="31" ref="AH32:AH50">VLOOKUP($BE6,$AE$5:$BD$24,4,FALSE)</f>
        <v> </v>
      </c>
      <c r="AI32" s="112" t="str">
        <f aca="true" t="shared" si="32" ref="AI32:AI50">VLOOKUP($BE6,$AE$5:$BD$24,5,FALSE)</f>
        <v> </v>
      </c>
      <c r="AJ32" s="112" t="str">
        <f aca="true" t="shared" si="33" ref="AJ32:AJ50">VLOOKUP($BE6,$AE$5:$BD$24,6,FALSE)</f>
        <v> </v>
      </c>
      <c r="AK32" s="112" t="str">
        <f aca="true" t="shared" si="34" ref="AK32:AK50">VLOOKUP($BE6,$AE$5:$BD$24,7,FALSE)</f>
        <v> </v>
      </c>
      <c r="AL32" s="112" t="str">
        <f aca="true" t="shared" si="35" ref="AL32:AL50">VLOOKUP($BE6,$AE$5:$BD$24,8,FALSE)</f>
        <v> </v>
      </c>
      <c r="AM32" s="112" t="str">
        <f aca="true" t="shared" si="36" ref="AM32:AM50">VLOOKUP($BE6,$AE$5:$BD$24,9,FALSE)</f>
        <v> </v>
      </c>
      <c r="AN32" s="112" t="str">
        <f aca="true" t="shared" si="37" ref="AN32:AN50">VLOOKUP($BE6,$AE$5:$BD$24,10,FALSE)</f>
        <v> </v>
      </c>
      <c r="AO32" s="112" t="str">
        <f aca="true" t="shared" si="38" ref="AO32:AO50">VLOOKUP($BE6,$AE$5:$BD$24,11,FALSE)</f>
        <v> </v>
      </c>
      <c r="AP32" s="112" t="str">
        <f aca="true" t="shared" si="39" ref="AP32:AP50">VLOOKUP($BE6,$AE$5:$BD$24,12,FALSE)</f>
        <v> </v>
      </c>
      <c r="AQ32" s="112" t="str">
        <f aca="true" t="shared" si="40" ref="AQ32:AQ50">VLOOKUP($BE6,$AE$5:$BD$24,13,FALSE)</f>
        <v> </v>
      </c>
      <c r="AR32" s="112" t="str">
        <f aca="true" t="shared" si="41" ref="AR32:AR50">VLOOKUP($BE6,$AE$5:$BD$24,14,FALSE)</f>
        <v> </v>
      </c>
      <c r="AS32" s="112" t="str">
        <f aca="true" t="shared" si="42" ref="AS32:AS50">VLOOKUP($BE6,$AE$5:$BD$24,15,FALSE)</f>
        <v> </v>
      </c>
      <c r="AT32" s="112" t="str">
        <f aca="true" t="shared" si="43" ref="AT32:AT50">VLOOKUP($BE6,$AE$5:$BD$24,16,FALSE)</f>
        <v> </v>
      </c>
      <c r="AU32" s="112" t="str">
        <f aca="true" t="shared" si="44" ref="AU32:AU50">VLOOKUP($BE6,$AE$5:$BD$24,17,FALSE)</f>
        <v> </v>
      </c>
      <c r="AV32" s="112" t="str">
        <f aca="true" t="shared" si="45" ref="AV32:AV50">VLOOKUP($BE6,$AE$5:$BD$24,18,FALSE)</f>
        <v> </v>
      </c>
      <c r="AW32" s="112" t="str">
        <f aca="true" t="shared" si="46" ref="AW32:AW50">VLOOKUP($BE6,$AE$5:$BD$24,19,FALSE)</f>
        <v> </v>
      </c>
      <c r="AX32" s="112" t="str">
        <f aca="true" t="shared" si="47" ref="AX32:AX50">VLOOKUP($BE6,$AE$5:$BD$24,20,FALSE)</f>
        <v> </v>
      </c>
      <c r="AY32" s="112" t="str">
        <f aca="true" t="shared" si="48" ref="AY32:AY50">VLOOKUP($BE6,$AE$5:$BD$24,21,FALSE)</f>
        <v> </v>
      </c>
      <c r="AZ32" s="112" t="str">
        <f aca="true" t="shared" si="49" ref="AZ32:AZ50">VLOOKUP($BE6,$AE$5:$BD$24,22,FALSE)</f>
        <v> </v>
      </c>
      <c r="BA32" s="113" t="str">
        <f aca="true" t="shared" si="50" ref="BA32:BA50">VLOOKUP($BE6,$AE$5:$BD$24,23,FALSE)</f>
        <v> </v>
      </c>
      <c r="BB32" s="114" t="str">
        <f aca="true" t="shared" si="51" ref="BB32:BB50">VLOOKUP($BE6,$AE$5:$BD$24,24,FALSE)</f>
        <v> </v>
      </c>
      <c r="BC32" s="115">
        <f aca="true" t="shared" si="52" ref="BC32:BC50">VLOOKUP($BE6,$AE$5:$BD$24,25,FALSE)</f>
      </c>
      <c r="BD32" s="116" t="str">
        <f aca="true" t="shared" si="53" ref="BD32:BD50">VLOOKUP($BE6,$AE$5:$BD$24,26,FALSE)</f>
        <v> </v>
      </c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2:83" ht="24.75" customHeight="1">
      <c r="B33" s="10">
        <v>3</v>
      </c>
      <c r="C33" s="26" t="str">
        <f>Eingabe!$C$8</f>
        <v>Spieler 3</v>
      </c>
      <c r="D33" s="56" t="str">
        <f>'20 Spieler'!$AG$55</f>
        <v> </v>
      </c>
      <c r="E33" s="56" t="str">
        <f>'20 Spieler'!$AE$35</f>
        <v> </v>
      </c>
      <c r="F33" s="66"/>
      <c r="G33" s="56" t="str">
        <f>'20 Spieler'!$Y$35</f>
        <v> </v>
      </c>
      <c r="H33" s="56" t="str">
        <f>'20 Spieler'!$O$55</f>
        <v> </v>
      </c>
      <c r="I33" s="56" t="str">
        <f>'20 Spieler'!$Q$34</f>
        <v> </v>
      </c>
      <c r="J33" s="56" t="str">
        <f>'20 Spieler'!$G$56</f>
        <v> </v>
      </c>
      <c r="K33" s="56" t="str">
        <f>'20 Spieler'!$I$33</f>
        <v> </v>
      </c>
      <c r="L33" s="56" t="str">
        <f>'20 Spieler'!$AM$43</f>
        <v> </v>
      </c>
      <c r="M33" s="56" t="str">
        <f>'20 Spieler'!$AO$18</f>
        <v> </v>
      </c>
      <c r="N33" s="56" t="str">
        <f>'20 Spieler'!$AE$44</f>
        <v> </v>
      </c>
      <c r="O33" s="56" t="str">
        <f>'20 Spieler'!$AG$17</f>
        <v> </v>
      </c>
      <c r="P33" s="56" t="str">
        <f>'20 Spieler'!$W$45</f>
        <v> </v>
      </c>
      <c r="Q33" s="56" t="str">
        <f>'20 Spieler'!$Y$16</f>
        <v> </v>
      </c>
      <c r="R33" s="56" t="str">
        <f>'20 Spieler'!$O$46</f>
        <v> </v>
      </c>
      <c r="S33" s="56" t="str">
        <f>'20 Spieler'!$Q$15</f>
        <v> </v>
      </c>
      <c r="T33" s="56" t="str">
        <f>'20 Spieler'!$G$47</f>
        <v> </v>
      </c>
      <c r="U33" s="56" t="str">
        <f>'20 Spieler'!$I$14</f>
        <v> </v>
      </c>
      <c r="V33" s="56" t="str">
        <f>'20 Spieler'!$AM$34</f>
        <v> </v>
      </c>
      <c r="W33" s="30" t="str">
        <f>'20 Spieler'!$W$54</f>
        <v> </v>
      </c>
      <c r="X33" s="73" t="str">
        <f t="shared" si="27"/>
        <v> </v>
      </c>
      <c r="Y33" s="71">
        <f t="shared" si="28"/>
      </c>
      <c r="Z33" s="60" t="str">
        <f>IF('Tabelle 20'!$C$5=C33,'Tabelle 20'!$R$5,"")&amp;IF('Tabelle 20'!$C$6=C33,'Tabelle 20'!$R$6,"")&amp;IF('Tabelle 20'!$C$7=C33,'Tabelle 20'!$R$7,"")&amp;IF('Tabelle 20'!$C$8=C33,'Tabelle 20'!$R$8,"")&amp;IF('Tabelle 20'!$C$9=C33,'Tabelle 20'!$R$9,"")&amp;IF('Tabelle 20'!$C$10=C33,'Tabelle 20'!$R$10,"")&amp;IF('Tabelle 20'!$C$11=C33,'Tabelle 20'!$R$11,"")&amp;IF('Tabelle 20'!$C$12=C33,'Tabelle 20'!$R$12,"")&amp;IF('Tabelle 20'!$C$13=C33,'Tabelle 20'!$R$13,"")&amp;IF('Tabelle 20'!$C$14=C33,'Tabelle 20'!$R$14,"")&amp;IF('Tabelle 20'!$C$15=C33,'Tabelle 20'!$R$15,"")&amp;IF('Tabelle 20'!$C$16=C33,'Tabelle 20'!$R$16,"")&amp;IF('Tabelle 20'!$C$17=C33,'Tabelle 20'!$R$17,"")&amp;IF('Tabelle 20'!$C$18=C33,'Tabelle 20'!$R$18,"")&amp;IF('Tabelle 20'!$C$19=C33,'Tabelle 20'!$R$19,"")&amp;IF('Tabelle 20'!$C$20=C33,'Tabelle 20'!$R$20,"")&amp;IF('Tabelle 20'!$C$21=C33,'Tabelle 20'!$R$21,"")&amp;IF('Tabelle 20'!$C$22=C33,'Tabelle 20'!$R$22,"")&amp;IF('Tabelle 20'!$C$23=C33,'Tabelle 20'!$R$23,"")&amp;IF('Tabelle 20'!$C$24=C33,'Tabelle 20'!$R$24,"")</f>
        <v> </v>
      </c>
      <c r="AA33" s="2"/>
      <c r="AB33" s="2"/>
      <c r="AC33" s="2"/>
      <c r="AD33" s="2"/>
      <c r="AE33" s="2"/>
      <c r="AF33" s="110">
        <f t="shared" si="29"/>
        <v>3</v>
      </c>
      <c r="AG33" s="111" t="str">
        <f t="shared" si="30"/>
        <v>Spieler 3</v>
      </c>
      <c r="AH33" s="112" t="str">
        <f t="shared" si="31"/>
        <v> </v>
      </c>
      <c r="AI33" s="112" t="str">
        <f t="shared" si="32"/>
        <v> </v>
      </c>
      <c r="AJ33" s="112" t="str">
        <f t="shared" si="33"/>
        <v> </v>
      </c>
      <c r="AK33" s="112" t="str">
        <f t="shared" si="34"/>
        <v> </v>
      </c>
      <c r="AL33" s="112" t="str">
        <f t="shared" si="35"/>
        <v> </v>
      </c>
      <c r="AM33" s="112" t="str">
        <f t="shared" si="36"/>
        <v> </v>
      </c>
      <c r="AN33" s="112" t="str">
        <f t="shared" si="37"/>
        <v> </v>
      </c>
      <c r="AO33" s="112" t="str">
        <f t="shared" si="38"/>
        <v> </v>
      </c>
      <c r="AP33" s="112" t="str">
        <f t="shared" si="39"/>
        <v> </v>
      </c>
      <c r="AQ33" s="112" t="str">
        <f t="shared" si="40"/>
        <v> </v>
      </c>
      <c r="AR33" s="112" t="str">
        <f t="shared" si="41"/>
        <v> </v>
      </c>
      <c r="AS33" s="112" t="str">
        <f t="shared" si="42"/>
        <v> </v>
      </c>
      <c r="AT33" s="112" t="str">
        <f t="shared" si="43"/>
        <v> </v>
      </c>
      <c r="AU33" s="112" t="str">
        <f t="shared" si="44"/>
        <v> </v>
      </c>
      <c r="AV33" s="112" t="str">
        <f t="shared" si="45"/>
        <v> </v>
      </c>
      <c r="AW33" s="112" t="str">
        <f t="shared" si="46"/>
        <v> </v>
      </c>
      <c r="AX33" s="112" t="str">
        <f t="shared" si="47"/>
        <v> </v>
      </c>
      <c r="AY33" s="112" t="str">
        <f t="shared" si="48"/>
        <v> </v>
      </c>
      <c r="AZ33" s="112" t="str">
        <f t="shared" si="49"/>
        <v> </v>
      </c>
      <c r="BA33" s="113" t="str">
        <f t="shared" si="50"/>
        <v> </v>
      </c>
      <c r="BB33" s="114" t="str">
        <f t="shared" si="51"/>
        <v> </v>
      </c>
      <c r="BC33" s="115">
        <f t="shared" si="52"/>
      </c>
      <c r="BD33" s="116" t="str">
        <f t="shared" si="53"/>
        <v> </v>
      </c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2:83" ht="24.75" customHeight="1">
      <c r="B34" s="10">
        <v>4</v>
      </c>
      <c r="C34" s="26" t="str">
        <f>Eingabe!$C$9</f>
        <v>Spieler 4</v>
      </c>
      <c r="D34" s="56" t="str">
        <f>'20 Spieler'!$AE$34</f>
        <v> </v>
      </c>
      <c r="E34" s="56" t="str">
        <f>'20 Spieler'!$Y$55</f>
        <v> </v>
      </c>
      <c r="F34" s="56" t="str">
        <f>'20 Spieler'!$W$35</f>
        <v> </v>
      </c>
      <c r="G34" s="66"/>
      <c r="H34" s="56" t="str">
        <f>'20 Spieler'!$Q$35</f>
        <v> </v>
      </c>
      <c r="I34" s="56" t="str">
        <f>'20 Spieler'!$G$55</f>
        <v> </v>
      </c>
      <c r="J34" s="56" t="str">
        <f>'20 Spieler'!$I$34</f>
        <v> </v>
      </c>
      <c r="K34" s="56" t="str">
        <f>'20 Spieler'!$AM$42</f>
        <v> </v>
      </c>
      <c r="L34" s="56" t="str">
        <f>'20 Spieler'!$AO$19</f>
        <v> </v>
      </c>
      <c r="M34" s="56" t="str">
        <f>'20 Spieler'!$AE$43</f>
        <v> </v>
      </c>
      <c r="N34" s="56" t="str">
        <f>'20 Spieler'!$AG$18</f>
        <v> </v>
      </c>
      <c r="O34" s="56" t="str">
        <f>'20 Spieler'!$W$44</f>
        <v> </v>
      </c>
      <c r="P34" s="56" t="str">
        <f>'20 Spieler'!$Y$17</f>
        <v> </v>
      </c>
      <c r="Q34" s="56" t="str">
        <f>'20 Spieler'!$O$45</f>
        <v> </v>
      </c>
      <c r="R34" s="56" t="str">
        <f>'20 Spieler'!$Q$16</f>
        <v> </v>
      </c>
      <c r="S34" s="56" t="str">
        <f>'20 Spieler'!$G$46</f>
        <v> </v>
      </c>
      <c r="T34" s="56" t="str">
        <f>'20 Spieler'!$I$15</f>
        <v> </v>
      </c>
      <c r="U34" s="56" t="str">
        <f>'20 Spieler'!$AM$33</f>
        <v> </v>
      </c>
      <c r="V34" s="56" t="str">
        <f>'20 Spieler'!$AG$56</f>
        <v> </v>
      </c>
      <c r="W34" s="30" t="str">
        <f>'20 Spieler'!$O$54</f>
        <v> </v>
      </c>
      <c r="X34" s="73" t="str">
        <f t="shared" si="27"/>
        <v> </v>
      </c>
      <c r="Y34" s="71">
        <f t="shared" si="28"/>
      </c>
      <c r="Z34" s="60" t="str">
        <f>IF('Tabelle 20'!$C$5=C34,'Tabelle 20'!$R$5,"")&amp;IF('Tabelle 20'!$C$6=C34,'Tabelle 20'!$R$6,"")&amp;IF('Tabelle 20'!$C$7=C34,'Tabelle 20'!$R$7,"")&amp;IF('Tabelle 20'!$C$8=C34,'Tabelle 20'!$R$8,"")&amp;IF('Tabelle 20'!$C$9=C34,'Tabelle 20'!$R$9,"")&amp;IF('Tabelle 20'!$C$10=C34,'Tabelle 20'!$R$10,"")&amp;IF('Tabelle 20'!$C$11=C34,'Tabelle 20'!$R$11,"")&amp;IF('Tabelle 20'!$C$12=C34,'Tabelle 20'!$R$12,"")&amp;IF('Tabelle 20'!$C$13=C34,'Tabelle 20'!$R$13,"")&amp;IF('Tabelle 20'!$C$14=C34,'Tabelle 20'!$R$14,"")&amp;IF('Tabelle 20'!$C$15=C34,'Tabelle 20'!$R$15,"")&amp;IF('Tabelle 20'!$C$16=C34,'Tabelle 20'!$R$16,"")&amp;IF('Tabelle 20'!$C$17=C34,'Tabelle 20'!$R$17,"")&amp;IF('Tabelle 20'!$C$18=C34,'Tabelle 20'!$R$18,"")&amp;IF('Tabelle 20'!$C$19=C34,'Tabelle 20'!$R$19,"")&amp;IF('Tabelle 20'!$C$20=C34,'Tabelle 20'!$R$20,"")&amp;IF('Tabelle 20'!$C$21=C34,'Tabelle 20'!$R$21,"")&amp;IF('Tabelle 20'!$C$22=C34,'Tabelle 20'!$R$22,"")&amp;IF('Tabelle 20'!$C$23=C34,'Tabelle 20'!$R$23,"")&amp;IF('Tabelle 20'!$C$24=C34,'Tabelle 20'!$R$24,"")</f>
        <v> </v>
      </c>
      <c r="AA34" s="2"/>
      <c r="AB34" s="2"/>
      <c r="AC34" s="2"/>
      <c r="AD34" s="2"/>
      <c r="AE34" s="2"/>
      <c r="AF34" s="110">
        <f t="shared" si="29"/>
        <v>4</v>
      </c>
      <c r="AG34" s="111" t="str">
        <f t="shared" si="30"/>
        <v>Spieler 4</v>
      </c>
      <c r="AH34" s="112" t="str">
        <f t="shared" si="31"/>
        <v> </v>
      </c>
      <c r="AI34" s="112" t="str">
        <f t="shared" si="32"/>
        <v> </v>
      </c>
      <c r="AJ34" s="112" t="str">
        <f t="shared" si="33"/>
        <v> </v>
      </c>
      <c r="AK34" s="112" t="str">
        <f t="shared" si="34"/>
        <v> </v>
      </c>
      <c r="AL34" s="112" t="str">
        <f t="shared" si="35"/>
        <v> </v>
      </c>
      <c r="AM34" s="112" t="str">
        <f t="shared" si="36"/>
        <v> </v>
      </c>
      <c r="AN34" s="112" t="str">
        <f t="shared" si="37"/>
        <v> </v>
      </c>
      <c r="AO34" s="112" t="str">
        <f t="shared" si="38"/>
        <v> </v>
      </c>
      <c r="AP34" s="112" t="str">
        <f t="shared" si="39"/>
        <v> </v>
      </c>
      <c r="AQ34" s="112" t="str">
        <f t="shared" si="40"/>
        <v> </v>
      </c>
      <c r="AR34" s="112" t="str">
        <f t="shared" si="41"/>
        <v> </v>
      </c>
      <c r="AS34" s="112" t="str">
        <f t="shared" si="42"/>
        <v> </v>
      </c>
      <c r="AT34" s="112" t="str">
        <f t="shared" si="43"/>
        <v> </v>
      </c>
      <c r="AU34" s="112" t="str">
        <f t="shared" si="44"/>
        <v> </v>
      </c>
      <c r="AV34" s="112" t="str">
        <f t="shared" si="45"/>
        <v> </v>
      </c>
      <c r="AW34" s="112" t="str">
        <f t="shared" si="46"/>
        <v> </v>
      </c>
      <c r="AX34" s="112" t="str">
        <f t="shared" si="47"/>
        <v> </v>
      </c>
      <c r="AY34" s="112" t="str">
        <f t="shared" si="48"/>
        <v> </v>
      </c>
      <c r="AZ34" s="112" t="str">
        <f t="shared" si="49"/>
        <v> </v>
      </c>
      <c r="BA34" s="113" t="str">
        <f t="shared" si="50"/>
        <v> </v>
      </c>
      <c r="BB34" s="114" t="str">
        <f t="shared" si="51"/>
        <v> </v>
      </c>
      <c r="BC34" s="115">
        <f t="shared" si="52"/>
      </c>
      <c r="BD34" s="116" t="str">
        <f t="shared" si="53"/>
        <v> </v>
      </c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2:83" ht="24.75" customHeight="1">
      <c r="B35" s="10">
        <v>5</v>
      </c>
      <c r="C35" s="26" t="str">
        <f>Eingabe!$C$10</f>
        <v>Spieler 5</v>
      </c>
      <c r="D35" s="56" t="str">
        <f>'20 Spieler'!$Y$56</f>
        <v> </v>
      </c>
      <c r="E35" s="56" t="str">
        <f>'20 Spieler'!$W$34</f>
        <v> </v>
      </c>
      <c r="F35" s="56" t="str">
        <f>'20 Spieler'!$Q$55</f>
        <v> </v>
      </c>
      <c r="G35" s="56" t="str">
        <f>'20 Spieler'!$O$35</f>
        <v> </v>
      </c>
      <c r="H35" s="66"/>
      <c r="I35" s="56" t="str">
        <f>'20 Spieler'!$I$35</f>
        <v> </v>
      </c>
      <c r="J35" s="56" t="str">
        <f>'20 Spieler'!$AM$41</f>
        <v> </v>
      </c>
      <c r="K35" s="56" t="str">
        <f>'20 Spieler'!$AO$20</f>
        <v> </v>
      </c>
      <c r="L35" s="56" t="str">
        <f>'20 Spieler'!$AE$42</f>
        <v> </v>
      </c>
      <c r="M35" s="56" t="str">
        <f>'20 Spieler'!$AG$19</f>
        <v> </v>
      </c>
      <c r="N35" s="56" t="str">
        <f>'20 Spieler'!$W$43</f>
        <v> </v>
      </c>
      <c r="O35" s="56" t="str">
        <f>'20 Spieler'!$Y$18</f>
        <v> </v>
      </c>
      <c r="P35" s="56" t="str">
        <f>'20 Spieler'!$O$44</f>
        <v> </v>
      </c>
      <c r="Q35" s="56" t="str">
        <f>'20 Spieler'!$Q$17</f>
        <v> </v>
      </c>
      <c r="R35" s="56" t="str">
        <f>'20 Spieler'!$G$45</f>
        <v> </v>
      </c>
      <c r="S35" s="56" t="str">
        <f>'20 Spieler'!$I$16</f>
        <v> </v>
      </c>
      <c r="T35" s="56" t="str">
        <f>'20 Spieler'!$AM$32</f>
        <v> </v>
      </c>
      <c r="U35" s="56" t="str">
        <f>'20 Spieler'!$AG$57</f>
        <v> </v>
      </c>
      <c r="V35" s="56" t="str">
        <f>'20 Spieler'!$AE$33</f>
        <v> </v>
      </c>
      <c r="W35" s="30" t="str">
        <f>'20 Spieler'!$G$54</f>
        <v> </v>
      </c>
      <c r="X35" s="73" t="str">
        <f t="shared" si="27"/>
        <v> </v>
      </c>
      <c r="Y35" s="71">
        <f t="shared" si="28"/>
      </c>
      <c r="Z35" s="60" t="str">
        <f>IF('Tabelle 20'!$C$5=C35,'Tabelle 20'!$R$5,"")&amp;IF('Tabelle 20'!$C$6=C35,'Tabelle 20'!$R$6,"")&amp;IF('Tabelle 20'!$C$7=C35,'Tabelle 20'!$R$7,"")&amp;IF('Tabelle 20'!$C$8=C35,'Tabelle 20'!$R$8,"")&amp;IF('Tabelle 20'!$C$9=C35,'Tabelle 20'!$R$9,"")&amp;IF('Tabelle 20'!$C$10=C35,'Tabelle 20'!$R$10,"")&amp;IF('Tabelle 20'!$C$11=C35,'Tabelle 20'!$R$11,"")&amp;IF('Tabelle 20'!$C$12=C35,'Tabelle 20'!$R$12,"")&amp;IF('Tabelle 20'!$C$13=C35,'Tabelle 20'!$R$13,"")&amp;IF('Tabelle 20'!$C$14=C35,'Tabelle 20'!$R$14,"")&amp;IF('Tabelle 20'!$C$15=C35,'Tabelle 20'!$R$15,"")&amp;IF('Tabelle 20'!$C$16=C35,'Tabelle 20'!$R$16,"")&amp;IF('Tabelle 20'!$C$17=C35,'Tabelle 20'!$R$17,"")&amp;IF('Tabelle 20'!$C$18=C35,'Tabelle 20'!$R$18,"")&amp;IF('Tabelle 20'!$C$19=C35,'Tabelle 20'!$R$19,"")&amp;IF('Tabelle 20'!$C$20=C35,'Tabelle 20'!$R$20,"")&amp;IF('Tabelle 20'!$C$21=C35,'Tabelle 20'!$R$21,"")&amp;IF('Tabelle 20'!$C$22=C35,'Tabelle 20'!$R$22,"")&amp;IF('Tabelle 20'!$C$23=C35,'Tabelle 20'!$R$23,"")&amp;IF('Tabelle 20'!$C$24=C35,'Tabelle 20'!$R$24,"")</f>
        <v> </v>
      </c>
      <c r="AA35" s="2"/>
      <c r="AB35" s="2"/>
      <c r="AC35" s="2"/>
      <c r="AD35" s="2"/>
      <c r="AE35" s="2"/>
      <c r="AF35" s="110">
        <f t="shared" si="29"/>
        <v>5</v>
      </c>
      <c r="AG35" s="111" t="str">
        <f t="shared" si="30"/>
        <v>Spieler 5</v>
      </c>
      <c r="AH35" s="112" t="str">
        <f t="shared" si="31"/>
        <v> </v>
      </c>
      <c r="AI35" s="112" t="str">
        <f t="shared" si="32"/>
        <v> </v>
      </c>
      <c r="AJ35" s="112" t="str">
        <f t="shared" si="33"/>
        <v> </v>
      </c>
      <c r="AK35" s="112" t="str">
        <f t="shared" si="34"/>
        <v> </v>
      </c>
      <c r="AL35" s="112" t="str">
        <f t="shared" si="35"/>
        <v> </v>
      </c>
      <c r="AM35" s="112" t="str">
        <f t="shared" si="36"/>
        <v> </v>
      </c>
      <c r="AN35" s="112" t="str">
        <f t="shared" si="37"/>
        <v> </v>
      </c>
      <c r="AO35" s="112" t="str">
        <f t="shared" si="38"/>
        <v> </v>
      </c>
      <c r="AP35" s="112" t="str">
        <f t="shared" si="39"/>
        <v> </v>
      </c>
      <c r="AQ35" s="112" t="str">
        <f t="shared" si="40"/>
        <v> </v>
      </c>
      <c r="AR35" s="112" t="str">
        <f t="shared" si="41"/>
        <v> </v>
      </c>
      <c r="AS35" s="112" t="str">
        <f t="shared" si="42"/>
        <v> </v>
      </c>
      <c r="AT35" s="112" t="str">
        <f t="shared" si="43"/>
        <v> </v>
      </c>
      <c r="AU35" s="112" t="str">
        <f t="shared" si="44"/>
        <v> </v>
      </c>
      <c r="AV35" s="112" t="str">
        <f t="shared" si="45"/>
        <v> </v>
      </c>
      <c r="AW35" s="112" t="str">
        <f t="shared" si="46"/>
        <v> </v>
      </c>
      <c r="AX35" s="112" t="str">
        <f t="shared" si="47"/>
        <v> </v>
      </c>
      <c r="AY35" s="112" t="str">
        <f t="shared" si="48"/>
        <v> </v>
      </c>
      <c r="AZ35" s="112" t="str">
        <f t="shared" si="49"/>
        <v> </v>
      </c>
      <c r="BA35" s="113" t="str">
        <f t="shared" si="50"/>
        <v> </v>
      </c>
      <c r="BB35" s="114" t="str">
        <f t="shared" si="51"/>
        <v> </v>
      </c>
      <c r="BC35" s="115">
        <f t="shared" si="52"/>
      </c>
      <c r="BD35" s="116" t="str">
        <f t="shared" si="53"/>
        <v> </v>
      </c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2:83" ht="24.75" customHeight="1">
      <c r="B36" s="10">
        <v>6</v>
      </c>
      <c r="C36" s="26" t="str">
        <f>Eingabe!$C$11</f>
        <v>Spieler 6</v>
      </c>
      <c r="D36" s="56" t="str">
        <f>'20 Spieler'!$W$33</f>
        <v> </v>
      </c>
      <c r="E36" s="56" t="str">
        <f>'20 Spieler'!$Q$56</f>
        <v> </v>
      </c>
      <c r="F36" s="56" t="str">
        <f>'20 Spieler'!$O$34</f>
        <v> </v>
      </c>
      <c r="G36" s="56" t="str">
        <f>'20 Spieler'!$I$55</f>
        <v> </v>
      </c>
      <c r="H36" s="56" t="str">
        <f>'20 Spieler'!$G$35</f>
        <v> </v>
      </c>
      <c r="I36" s="66"/>
      <c r="J36" s="56" t="str">
        <f>'20 Spieler'!$AO$21</f>
        <v> </v>
      </c>
      <c r="K36" s="56" t="str">
        <f>'20 Spieler'!$AE$41</f>
        <v> </v>
      </c>
      <c r="L36" s="56" t="str">
        <f>'20 Spieler'!$AG$20</f>
        <v> </v>
      </c>
      <c r="M36" s="56" t="str">
        <f>'20 Spieler'!$W$42</f>
        <v> </v>
      </c>
      <c r="N36" s="56" t="str">
        <f>'20 Spieler'!$Y$19</f>
        <v> </v>
      </c>
      <c r="O36" s="56" t="str">
        <f>'20 Spieler'!$O$43</f>
        <v> </v>
      </c>
      <c r="P36" s="56" t="str">
        <f>'20 Spieler'!$Q$18</f>
        <v> </v>
      </c>
      <c r="Q36" s="56" t="str">
        <f>'20 Spieler'!$G$44</f>
        <v> </v>
      </c>
      <c r="R36" s="56" t="str">
        <f>'20 Spieler'!$I$17</f>
        <v> </v>
      </c>
      <c r="S36" s="56" t="str">
        <f>'20 Spieler'!$AM$31</f>
        <v> </v>
      </c>
      <c r="T36" s="56" t="str">
        <f>'20 Spieler'!$AG$58</f>
        <v> </v>
      </c>
      <c r="U36" s="56" t="str">
        <f>'20 Spieler'!$AE$32</f>
        <v> </v>
      </c>
      <c r="V36" s="56" t="str">
        <f>'20 Spieler'!$Y$57</f>
        <v> </v>
      </c>
      <c r="W36" s="30" t="str">
        <f>'20 Spieler'!$AM$40</f>
        <v> </v>
      </c>
      <c r="X36" s="73" t="str">
        <f t="shared" si="27"/>
        <v> </v>
      </c>
      <c r="Y36" s="71">
        <f t="shared" si="28"/>
      </c>
      <c r="Z36" s="60" t="str">
        <f>IF('Tabelle 20'!$C$5=C36,'Tabelle 20'!$R$5,"")&amp;IF('Tabelle 20'!$C$6=C36,'Tabelle 20'!$R$6,"")&amp;IF('Tabelle 20'!$C$7=C36,'Tabelle 20'!$R$7,"")&amp;IF('Tabelle 20'!$C$8=C36,'Tabelle 20'!$R$8,"")&amp;IF('Tabelle 20'!$C$9=C36,'Tabelle 20'!$R$9,"")&amp;IF('Tabelle 20'!$C$10=C36,'Tabelle 20'!$R$10,"")&amp;IF('Tabelle 20'!$C$11=C36,'Tabelle 20'!$R$11,"")&amp;IF('Tabelle 20'!$C$12=C36,'Tabelle 20'!$R$12,"")&amp;IF('Tabelle 20'!$C$13=C36,'Tabelle 20'!$R$13,"")&amp;IF('Tabelle 20'!$C$14=C36,'Tabelle 20'!$R$14,"")&amp;IF('Tabelle 20'!$C$15=C36,'Tabelle 20'!$R$15,"")&amp;IF('Tabelle 20'!$C$16=C36,'Tabelle 20'!$R$16,"")&amp;IF('Tabelle 20'!$C$17=C36,'Tabelle 20'!$R$17,"")&amp;IF('Tabelle 20'!$C$18=C36,'Tabelle 20'!$R$18,"")&amp;IF('Tabelle 20'!$C$19=C36,'Tabelle 20'!$R$19,"")&amp;IF('Tabelle 20'!$C$20=C36,'Tabelle 20'!$R$20,"")&amp;IF('Tabelle 20'!$C$21=C36,'Tabelle 20'!$R$21,"")&amp;IF('Tabelle 20'!$C$22=C36,'Tabelle 20'!$R$22,"")&amp;IF('Tabelle 20'!$C$23=C36,'Tabelle 20'!$R$23,"")&amp;IF('Tabelle 20'!$C$24=C36,'Tabelle 20'!$R$24,"")</f>
        <v> </v>
      </c>
      <c r="AA36" s="2"/>
      <c r="AB36" s="2"/>
      <c r="AC36" s="2"/>
      <c r="AD36" s="2"/>
      <c r="AE36" s="2"/>
      <c r="AF36" s="110">
        <f t="shared" si="29"/>
        <v>6</v>
      </c>
      <c r="AG36" s="111" t="str">
        <f t="shared" si="30"/>
        <v>Spieler 6</v>
      </c>
      <c r="AH36" s="112" t="str">
        <f t="shared" si="31"/>
        <v> </v>
      </c>
      <c r="AI36" s="112" t="str">
        <f t="shared" si="32"/>
        <v> </v>
      </c>
      <c r="AJ36" s="112" t="str">
        <f t="shared" si="33"/>
        <v> </v>
      </c>
      <c r="AK36" s="112" t="str">
        <f t="shared" si="34"/>
        <v> </v>
      </c>
      <c r="AL36" s="112" t="str">
        <f t="shared" si="35"/>
        <v> </v>
      </c>
      <c r="AM36" s="112" t="str">
        <f t="shared" si="36"/>
        <v> </v>
      </c>
      <c r="AN36" s="112" t="str">
        <f t="shared" si="37"/>
        <v> </v>
      </c>
      <c r="AO36" s="112" t="str">
        <f t="shared" si="38"/>
        <v> </v>
      </c>
      <c r="AP36" s="112" t="str">
        <f t="shared" si="39"/>
        <v> </v>
      </c>
      <c r="AQ36" s="112" t="str">
        <f t="shared" si="40"/>
        <v> </v>
      </c>
      <c r="AR36" s="112" t="str">
        <f t="shared" si="41"/>
        <v> </v>
      </c>
      <c r="AS36" s="112" t="str">
        <f t="shared" si="42"/>
        <v> </v>
      </c>
      <c r="AT36" s="112" t="str">
        <f t="shared" si="43"/>
        <v> </v>
      </c>
      <c r="AU36" s="112" t="str">
        <f t="shared" si="44"/>
        <v> </v>
      </c>
      <c r="AV36" s="112" t="str">
        <f t="shared" si="45"/>
        <v> </v>
      </c>
      <c r="AW36" s="112" t="str">
        <f t="shared" si="46"/>
        <v> </v>
      </c>
      <c r="AX36" s="112" t="str">
        <f t="shared" si="47"/>
        <v> </v>
      </c>
      <c r="AY36" s="112" t="str">
        <f t="shared" si="48"/>
        <v> </v>
      </c>
      <c r="AZ36" s="112" t="str">
        <f t="shared" si="49"/>
        <v> </v>
      </c>
      <c r="BA36" s="113" t="str">
        <f t="shared" si="50"/>
        <v> </v>
      </c>
      <c r="BB36" s="114" t="str">
        <f t="shared" si="51"/>
        <v> </v>
      </c>
      <c r="BC36" s="115">
        <f t="shared" si="52"/>
      </c>
      <c r="BD36" s="116" t="str">
        <f t="shared" si="53"/>
        <v> </v>
      </c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2:83" ht="24.75" customHeight="1">
      <c r="B37" s="10">
        <v>7</v>
      </c>
      <c r="C37" s="26" t="str">
        <f>Eingabe!$C$12</f>
        <v>Spieler 7</v>
      </c>
      <c r="D37" s="56" t="str">
        <f>'20 Spieler'!$Q$57</f>
        <v> </v>
      </c>
      <c r="E37" s="56" t="str">
        <f>'20 Spieler'!$O$33</f>
        <v> </v>
      </c>
      <c r="F37" s="56" t="str">
        <f>'20 Spieler'!$I$56</f>
        <v> </v>
      </c>
      <c r="G37" s="56" t="str">
        <f>'20 Spieler'!$G$34</f>
        <v> </v>
      </c>
      <c r="H37" s="56" t="str">
        <f>'20 Spieler'!$AO$41</f>
        <v> </v>
      </c>
      <c r="I37" s="56" t="str">
        <f>'20 Spieler'!$AM$21</f>
        <v> </v>
      </c>
      <c r="J37" s="66"/>
      <c r="K37" s="56" t="str">
        <f>'20 Spieler'!$AG$21</f>
        <v> </v>
      </c>
      <c r="L37" s="56" t="str">
        <f>'20 Spieler'!$W$41</f>
        <v> </v>
      </c>
      <c r="M37" s="56" t="str">
        <f>'20 Spieler'!$Y$20</f>
        <v> </v>
      </c>
      <c r="N37" s="56" t="str">
        <f>'20 Spieler'!$O$42</f>
        <v> </v>
      </c>
      <c r="O37" s="56" t="str">
        <f>'20 Spieler'!$Q$19</f>
        <v> </v>
      </c>
      <c r="P37" s="56" t="str">
        <f>'20 Spieler'!$G$43</f>
        <v> </v>
      </c>
      <c r="Q37" s="56" t="str">
        <f>'20 Spieler'!$I$18</f>
        <v> </v>
      </c>
      <c r="R37" s="56" t="str">
        <f>'20 Spieler'!$AM$30</f>
        <v> </v>
      </c>
      <c r="S37" s="56" t="str">
        <f>'20 Spieler'!$AG$59</f>
        <v> </v>
      </c>
      <c r="T37" s="56" t="str">
        <f>'20 Spieler'!$AE$31</f>
        <v> </v>
      </c>
      <c r="U37" s="56" t="str">
        <f>'20 Spieler'!$Y$58</f>
        <v> </v>
      </c>
      <c r="V37" s="56" t="str">
        <f>'20 Spieler'!$W$32</f>
        <v> </v>
      </c>
      <c r="W37" s="30" t="str">
        <f>'20 Spieler'!$AE$40</f>
        <v> </v>
      </c>
      <c r="X37" s="73" t="str">
        <f t="shared" si="27"/>
        <v> </v>
      </c>
      <c r="Y37" s="71">
        <f t="shared" si="28"/>
      </c>
      <c r="Z37" s="60" t="str">
        <f>IF('Tabelle 20'!$C$5=C37,'Tabelle 20'!$R$5,"")&amp;IF('Tabelle 20'!$C$6=C37,'Tabelle 20'!$R$6,"")&amp;IF('Tabelle 20'!$C$7=C37,'Tabelle 20'!$R$7,"")&amp;IF('Tabelle 20'!$C$8=C37,'Tabelle 20'!$R$8,"")&amp;IF('Tabelle 20'!$C$9=C37,'Tabelle 20'!$R$9,"")&amp;IF('Tabelle 20'!$C$10=C37,'Tabelle 20'!$R$10,"")&amp;IF('Tabelle 20'!$C$11=C37,'Tabelle 20'!$R$11,"")&amp;IF('Tabelle 20'!$C$12=C37,'Tabelle 20'!$R$12,"")&amp;IF('Tabelle 20'!$C$13=C37,'Tabelle 20'!$R$13,"")&amp;IF('Tabelle 20'!$C$14=C37,'Tabelle 20'!$R$14,"")&amp;IF('Tabelle 20'!$C$15=C37,'Tabelle 20'!$R$15,"")&amp;IF('Tabelle 20'!$C$16=C37,'Tabelle 20'!$R$16,"")&amp;IF('Tabelle 20'!$C$17=C37,'Tabelle 20'!$R$17,"")&amp;IF('Tabelle 20'!$C$18=C37,'Tabelle 20'!$R$18,"")&amp;IF('Tabelle 20'!$C$19=C37,'Tabelle 20'!$R$19,"")&amp;IF('Tabelle 20'!$C$20=C37,'Tabelle 20'!$R$20,"")&amp;IF('Tabelle 20'!$C$21=C37,'Tabelle 20'!$R$21,"")&amp;IF('Tabelle 20'!$C$22=C37,'Tabelle 20'!$R$22,"")&amp;IF('Tabelle 20'!$C$23=C37,'Tabelle 20'!$R$23,"")&amp;IF('Tabelle 20'!$C$24=C37,'Tabelle 20'!$R$24,"")</f>
        <v> </v>
      </c>
      <c r="AA37" s="2"/>
      <c r="AB37" s="2"/>
      <c r="AC37" s="2"/>
      <c r="AD37" s="2"/>
      <c r="AE37" s="2"/>
      <c r="AF37" s="110">
        <f t="shared" si="29"/>
        <v>7</v>
      </c>
      <c r="AG37" s="111" t="str">
        <f t="shared" si="30"/>
        <v>Spieler 7</v>
      </c>
      <c r="AH37" s="112" t="str">
        <f t="shared" si="31"/>
        <v> </v>
      </c>
      <c r="AI37" s="112" t="str">
        <f t="shared" si="32"/>
        <v> </v>
      </c>
      <c r="AJ37" s="112" t="str">
        <f t="shared" si="33"/>
        <v> </v>
      </c>
      <c r="AK37" s="112" t="str">
        <f t="shared" si="34"/>
        <v> </v>
      </c>
      <c r="AL37" s="112" t="str">
        <f t="shared" si="35"/>
        <v> </v>
      </c>
      <c r="AM37" s="112" t="str">
        <f t="shared" si="36"/>
        <v> </v>
      </c>
      <c r="AN37" s="112" t="str">
        <f t="shared" si="37"/>
        <v> </v>
      </c>
      <c r="AO37" s="112" t="str">
        <f t="shared" si="38"/>
        <v> </v>
      </c>
      <c r="AP37" s="112" t="str">
        <f t="shared" si="39"/>
        <v> </v>
      </c>
      <c r="AQ37" s="112" t="str">
        <f t="shared" si="40"/>
        <v> </v>
      </c>
      <c r="AR37" s="112" t="str">
        <f t="shared" si="41"/>
        <v> </v>
      </c>
      <c r="AS37" s="112" t="str">
        <f t="shared" si="42"/>
        <v> </v>
      </c>
      <c r="AT37" s="112" t="str">
        <f t="shared" si="43"/>
        <v> </v>
      </c>
      <c r="AU37" s="112" t="str">
        <f t="shared" si="44"/>
        <v> </v>
      </c>
      <c r="AV37" s="112" t="str">
        <f t="shared" si="45"/>
        <v> </v>
      </c>
      <c r="AW37" s="112" t="str">
        <f t="shared" si="46"/>
        <v> </v>
      </c>
      <c r="AX37" s="112" t="str">
        <f t="shared" si="47"/>
        <v> </v>
      </c>
      <c r="AY37" s="112" t="str">
        <f t="shared" si="48"/>
        <v> </v>
      </c>
      <c r="AZ37" s="112" t="str">
        <f t="shared" si="49"/>
        <v> </v>
      </c>
      <c r="BA37" s="113" t="str">
        <f t="shared" si="50"/>
        <v> </v>
      </c>
      <c r="BB37" s="114" t="str">
        <f t="shared" si="51"/>
        <v> </v>
      </c>
      <c r="BC37" s="115">
        <f t="shared" si="52"/>
      </c>
      <c r="BD37" s="116" t="str">
        <f t="shared" si="53"/>
        <v> </v>
      </c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ht="24.75" customHeight="1">
      <c r="B38" s="10">
        <v>8</v>
      </c>
      <c r="C38" s="26" t="str">
        <f>Eingabe!$C$13</f>
        <v>Spieler 8</v>
      </c>
      <c r="D38" s="56" t="str">
        <f>'20 Spieler'!$O$32</f>
        <v> </v>
      </c>
      <c r="E38" s="56" t="str">
        <f>'20 Spieler'!$I$57</f>
        <v> </v>
      </c>
      <c r="F38" s="56" t="str">
        <f>'20 Spieler'!$G$33</f>
        <v> </v>
      </c>
      <c r="G38" s="56" t="str">
        <f>'20 Spieler'!$AO$42</f>
        <v> </v>
      </c>
      <c r="H38" s="56" t="str">
        <f>'20 Spieler'!$AM$20</f>
        <v> </v>
      </c>
      <c r="I38" s="56" t="str">
        <f>'20 Spieler'!$AG$41</f>
        <v> </v>
      </c>
      <c r="J38" s="56" t="str">
        <f>'20 Spieler'!$AE$21</f>
        <v> </v>
      </c>
      <c r="K38" s="66"/>
      <c r="L38" s="56" t="str">
        <f>'20 Spieler'!$Y$21</f>
        <v> </v>
      </c>
      <c r="M38" s="56" t="str">
        <f>'20 Spieler'!$O$41</f>
        <v> </v>
      </c>
      <c r="N38" s="56" t="str">
        <f>'20 Spieler'!$Q$20</f>
        <v> </v>
      </c>
      <c r="O38" s="56" t="str">
        <f>'20 Spieler'!$G$42</f>
        <v> </v>
      </c>
      <c r="P38" s="56" t="str">
        <f>'20 Spieler'!$I$19</f>
        <v> </v>
      </c>
      <c r="Q38" s="56" t="str">
        <f>'20 Spieler'!$AM$29</f>
        <v> </v>
      </c>
      <c r="R38" s="56" t="str">
        <f>'20 Spieler'!$AG$60</f>
        <v> </v>
      </c>
      <c r="S38" s="56" t="str">
        <f>'20 Spieler'!$AE$30</f>
        <v> </v>
      </c>
      <c r="T38" s="56" t="str">
        <f>'20 Spieler'!$Y$59</f>
        <v> </v>
      </c>
      <c r="U38" s="56" t="str">
        <f>'20 Spieler'!$W$31</f>
        <v> </v>
      </c>
      <c r="V38" s="56" t="str">
        <f>'20 Spieler'!$Q$58</f>
        <v> </v>
      </c>
      <c r="W38" s="30" t="str">
        <f>'20 Spieler'!$W$40</f>
        <v> </v>
      </c>
      <c r="X38" s="73" t="str">
        <f t="shared" si="27"/>
        <v> </v>
      </c>
      <c r="Y38" s="71">
        <f t="shared" si="28"/>
      </c>
      <c r="Z38" s="60" t="str">
        <f>IF('Tabelle 20'!$C$5=C38,'Tabelle 20'!$R$5,"")&amp;IF('Tabelle 20'!$C$6=C38,'Tabelle 20'!$R$6,"")&amp;IF('Tabelle 20'!$C$7=C38,'Tabelle 20'!$R$7,"")&amp;IF('Tabelle 20'!$C$8=C38,'Tabelle 20'!$R$8,"")&amp;IF('Tabelle 20'!$C$9=C38,'Tabelle 20'!$R$9,"")&amp;IF('Tabelle 20'!$C$10=C38,'Tabelle 20'!$R$10,"")&amp;IF('Tabelle 20'!$C$11=C38,'Tabelle 20'!$R$11,"")&amp;IF('Tabelle 20'!$C$12=C38,'Tabelle 20'!$R$12,"")&amp;IF('Tabelle 20'!$C$13=C38,'Tabelle 20'!$R$13,"")&amp;IF('Tabelle 20'!$C$14=C38,'Tabelle 20'!$R$14,"")&amp;IF('Tabelle 20'!$C$15=C38,'Tabelle 20'!$R$15,"")&amp;IF('Tabelle 20'!$C$16=C38,'Tabelle 20'!$R$16,"")&amp;IF('Tabelle 20'!$C$17=C38,'Tabelle 20'!$R$17,"")&amp;IF('Tabelle 20'!$C$18=C38,'Tabelle 20'!$R$18,"")&amp;IF('Tabelle 20'!$C$19=C38,'Tabelle 20'!$R$19,"")&amp;IF('Tabelle 20'!$C$20=C38,'Tabelle 20'!$R$20,"")&amp;IF('Tabelle 20'!$C$21=C38,'Tabelle 20'!$R$21,"")&amp;IF('Tabelle 20'!$C$22=C38,'Tabelle 20'!$R$22,"")&amp;IF('Tabelle 20'!$C$23=C38,'Tabelle 20'!$R$23,"")&amp;IF('Tabelle 20'!$C$24=C38,'Tabelle 20'!$R$24,"")</f>
        <v> </v>
      </c>
      <c r="AA38" s="2"/>
      <c r="AB38" s="2"/>
      <c r="AC38" s="2"/>
      <c r="AD38" s="2"/>
      <c r="AE38" s="2"/>
      <c r="AF38" s="110">
        <f t="shared" si="29"/>
        <v>8</v>
      </c>
      <c r="AG38" s="111" t="str">
        <f t="shared" si="30"/>
        <v>Spieler 8</v>
      </c>
      <c r="AH38" s="112" t="str">
        <f t="shared" si="31"/>
        <v> </v>
      </c>
      <c r="AI38" s="112" t="str">
        <f t="shared" si="32"/>
        <v> </v>
      </c>
      <c r="AJ38" s="112" t="str">
        <f t="shared" si="33"/>
        <v> </v>
      </c>
      <c r="AK38" s="112" t="str">
        <f t="shared" si="34"/>
        <v> </v>
      </c>
      <c r="AL38" s="112" t="str">
        <f t="shared" si="35"/>
        <v> </v>
      </c>
      <c r="AM38" s="112" t="str">
        <f t="shared" si="36"/>
        <v> </v>
      </c>
      <c r="AN38" s="112" t="str">
        <f t="shared" si="37"/>
        <v> </v>
      </c>
      <c r="AO38" s="112" t="str">
        <f t="shared" si="38"/>
        <v> </v>
      </c>
      <c r="AP38" s="112" t="str">
        <f t="shared" si="39"/>
        <v> </v>
      </c>
      <c r="AQ38" s="112" t="str">
        <f t="shared" si="40"/>
        <v> </v>
      </c>
      <c r="AR38" s="112" t="str">
        <f t="shared" si="41"/>
        <v> </v>
      </c>
      <c r="AS38" s="112" t="str">
        <f t="shared" si="42"/>
        <v> </v>
      </c>
      <c r="AT38" s="112" t="str">
        <f t="shared" si="43"/>
        <v> </v>
      </c>
      <c r="AU38" s="112" t="str">
        <f t="shared" si="44"/>
        <v> </v>
      </c>
      <c r="AV38" s="112" t="str">
        <f t="shared" si="45"/>
        <v> </v>
      </c>
      <c r="AW38" s="112" t="str">
        <f t="shared" si="46"/>
        <v> </v>
      </c>
      <c r="AX38" s="112" t="str">
        <f t="shared" si="47"/>
        <v> </v>
      </c>
      <c r="AY38" s="112" t="str">
        <f t="shared" si="48"/>
        <v> </v>
      </c>
      <c r="AZ38" s="112" t="str">
        <f t="shared" si="49"/>
        <v> </v>
      </c>
      <c r="BA38" s="113" t="str">
        <f t="shared" si="50"/>
        <v> </v>
      </c>
      <c r="BB38" s="114" t="str">
        <f t="shared" si="51"/>
        <v> </v>
      </c>
      <c r="BC38" s="115">
        <f t="shared" si="52"/>
      </c>
      <c r="BD38" s="116" t="str">
        <f t="shared" si="53"/>
        <v> </v>
      </c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ht="24.75" customHeight="1">
      <c r="B39" s="10">
        <v>9</v>
      </c>
      <c r="C39" s="26" t="str">
        <f>Eingabe!$C$14</f>
        <v>Spieler 9</v>
      </c>
      <c r="D39" s="56" t="str">
        <f>'20 Spieler'!$I$58</f>
        <v> </v>
      </c>
      <c r="E39" s="56" t="str">
        <f>'20 Spieler'!$G$32</f>
        <v> </v>
      </c>
      <c r="F39" s="56" t="str">
        <f>'20 Spieler'!$AO$43</f>
        <v> </v>
      </c>
      <c r="G39" s="56" t="str">
        <f>'20 Spieler'!$AM$19</f>
        <v> </v>
      </c>
      <c r="H39" s="56" t="str">
        <f>'20 Spieler'!$AG$42</f>
        <v> </v>
      </c>
      <c r="I39" s="56" t="str">
        <f>'20 Spieler'!$AE$20</f>
        <v> </v>
      </c>
      <c r="J39" s="56" t="str">
        <f>'20 Spieler'!$Y$41</f>
        <v> </v>
      </c>
      <c r="K39" s="56" t="str">
        <f>'20 Spieler'!$W$21</f>
        <v> </v>
      </c>
      <c r="L39" s="66"/>
      <c r="M39" s="56" t="str">
        <f>'20 Spieler'!$Q$21</f>
        <v> </v>
      </c>
      <c r="N39" s="56" t="str">
        <f>'20 Spieler'!$G$41</f>
        <v> </v>
      </c>
      <c r="O39" s="56" t="str">
        <f>'20 Spieler'!$I$20</f>
        <v> </v>
      </c>
      <c r="P39" s="56" t="str">
        <f>'20 Spieler'!$AM$28</f>
        <v> </v>
      </c>
      <c r="Q39" s="56" t="str">
        <f>'20 Spieler'!$AG$61</f>
        <v> </v>
      </c>
      <c r="R39" s="56" t="str">
        <f>'20 Spieler'!$AE$29</f>
        <v> </v>
      </c>
      <c r="S39" s="56" t="str">
        <f>'20 Spieler'!$Y$60</f>
        <v> </v>
      </c>
      <c r="T39" s="56" t="str">
        <f>'20 Spieler'!$W$30</f>
        <v> </v>
      </c>
      <c r="U39" s="56" t="str">
        <f>'20 Spieler'!$Q$59</f>
        <v> </v>
      </c>
      <c r="V39" s="56" t="str">
        <f>'20 Spieler'!$O$31</f>
        <v> </v>
      </c>
      <c r="W39" s="30" t="str">
        <f>'20 Spieler'!$O$40</f>
        <v> </v>
      </c>
      <c r="X39" s="73" t="str">
        <f t="shared" si="27"/>
        <v> </v>
      </c>
      <c r="Y39" s="71">
        <f t="shared" si="28"/>
      </c>
      <c r="Z39" s="60" t="str">
        <f>IF('Tabelle 20'!$C$5=C39,'Tabelle 20'!$R$5,"")&amp;IF('Tabelle 20'!$C$6=C39,'Tabelle 20'!$R$6,"")&amp;IF('Tabelle 20'!$C$7=C39,'Tabelle 20'!$R$7,"")&amp;IF('Tabelle 20'!$C$8=C39,'Tabelle 20'!$R$8,"")&amp;IF('Tabelle 20'!$C$9=C39,'Tabelle 20'!$R$9,"")&amp;IF('Tabelle 20'!$C$10=C39,'Tabelle 20'!$R$10,"")&amp;IF('Tabelle 20'!$C$11=C39,'Tabelle 20'!$R$11,"")&amp;IF('Tabelle 20'!$C$12=C39,'Tabelle 20'!$R$12,"")&amp;IF('Tabelle 20'!$C$13=C39,'Tabelle 20'!$R$13,"")&amp;IF('Tabelle 20'!$C$14=C39,'Tabelle 20'!$R$14,"")&amp;IF('Tabelle 20'!$C$15=C39,'Tabelle 20'!$R$15,"")&amp;IF('Tabelle 20'!$C$16=C39,'Tabelle 20'!$R$16,"")&amp;IF('Tabelle 20'!$C$17=C39,'Tabelle 20'!$R$17,"")&amp;IF('Tabelle 20'!$C$18=C39,'Tabelle 20'!$R$18,"")&amp;IF('Tabelle 20'!$C$19=C39,'Tabelle 20'!$R$19,"")&amp;IF('Tabelle 20'!$C$20=C39,'Tabelle 20'!$R$20,"")&amp;IF('Tabelle 20'!$C$21=C39,'Tabelle 20'!$R$21,"")&amp;IF('Tabelle 20'!$C$22=C39,'Tabelle 20'!$R$22,"")&amp;IF('Tabelle 20'!$C$23=C39,'Tabelle 20'!$R$23,"")&amp;IF('Tabelle 20'!$C$24=C39,'Tabelle 20'!$R$24,"")</f>
        <v> </v>
      </c>
      <c r="AA39" s="2"/>
      <c r="AB39" s="2"/>
      <c r="AC39" s="2"/>
      <c r="AD39" s="2"/>
      <c r="AE39" s="2"/>
      <c r="AF39" s="110">
        <f t="shared" si="29"/>
        <v>9</v>
      </c>
      <c r="AG39" s="111" t="str">
        <f t="shared" si="30"/>
        <v>Spieler 9</v>
      </c>
      <c r="AH39" s="112" t="str">
        <f t="shared" si="31"/>
        <v> </v>
      </c>
      <c r="AI39" s="112" t="str">
        <f t="shared" si="32"/>
        <v> </v>
      </c>
      <c r="AJ39" s="112" t="str">
        <f t="shared" si="33"/>
        <v> </v>
      </c>
      <c r="AK39" s="112" t="str">
        <f t="shared" si="34"/>
        <v> </v>
      </c>
      <c r="AL39" s="112" t="str">
        <f t="shared" si="35"/>
        <v> </v>
      </c>
      <c r="AM39" s="112" t="str">
        <f t="shared" si="36"/>
        <v> </v>
      </c>
      <c r="AN39" s="112" t="str">
        <f t="shared" si="37"/>
        <v> </v>
      </c>
      <c r="AO39" s="112" t="str">
        <f t="shared" si="38"/>
        <v> </v>
      </c>
      <c r="AP39" s="112" t="str">
        <f t="shared" si="39"/>
        <v> </v>
      </c>
      <c r="AQ39" s="112" t="str">
        <f t="shared" si="40"/>
        <v> </v>
      </c>
      <c r="AR39" s="112" t="str">
        <f t="shared" si="41"/>
        <v> </v>
      </c>
      <c r="AS39" s="112" t="str">
        <f t="shared" si="42"/>
        <v> </v>
      </c>
      <c r="AT39" s="112" t="str">
        <f t="shared" si="43"/>
        <v> </v>
      </c>
      <c r="AU39" s="112" t="str">
        <f t="shared" si="44"/>
        <v> </v>
      </c>
      <c r="AV39" s="112" t="str">
        <f t="shared" si="45"/>
        <v> </v>
      </c>
      <c r="AW39" s="112" t="str">
        <f t="shared" si="46"/>
        <v> </v>
      </c>
      <c r="AX39" s="112" t="str">
        <f t="shared" si="47"/>
        <v> </v>
      </c>
      <c r="AY39" s="112" t="str">
        <f t="shared" si="48"/>
        <v> </v>
      </c>
      <c r="AZ39" s="112" t="str">
        <f t="shared" si="49"/>
        <v> </v>
      </c>
      <c r="BA39" s="113" t="str">
        <f t="shared" si="50"/>
        <v> </v>
      </c>
      <c r="BB39" s="114" t="str">
        <f t="shared" si="51"/>
        <v> </v>
      </c>
      <c r="BC39" s="115">
        <f t="shared" si="52"/>
      </c>
      <c r="BD39" s="116" t="str">
        <f t="shared" si="53"/>
        <v> </v>
      </c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ht="24.75" customHeight="1">
      <c r="B40" s="10">
        <v>10</v>
      </c>
      <c r="C40" s="26" t="str">
        <f>Eingabe!$C$15</f>
        <v>Spieler 10</v>
      </c>
      <c r="D40" s="56" t="str">
        <f>'20 Spieler'!$G$31</f>
        <v> </v>
      </c>
      <c r="E40" s="56" t="str">
        <f>'20 Spieler'!$AO$44</f>
        <v> </v>
      </c>
      <c r="F40" s="56" t="str">
        <f>'20 Spieler'!$AM$18</f>
        <v> </v>
      </c>
      <c r="G40" s="56" t="str">
        <f>'20 Spieler'!$AG$43</f>
        <v> </v>
      </c>
      <c r="H40" s="56" t="str">
        <f>'20 Spieler'!$AE$19</f>
        <v> </v>
      </c>
      <c r="I40" s="56" t="str">
        <f>'20 Spieler'!$Y$42</f>
        <v> </v>
      </c>
      <c r="J40" s="56" t="str">
        <f>'20 Spieler'!$W$20</f>
        <v> </v>
      </c>
      <c r="K40" s="56" t="str">
        <f>'20 Spieler'!$Q$41</f>
        <v> </v>
      </c>
      <c r="L40" s="56" t="str">
        <f>'20 Spieler'!$O$21</f>
        <v> </v>
      </c>
      <c r="M40" s="66"/>
      <c r="N40" s="56" t="str">
        <f>'20 Spieler'!$I$21</f>
        <v> </v>
      </c>
      <c r="O40" s="56" t="str">
        <f>'20 Spieler'!$AM$27</f>
        <v> </v>
      </c>
      <c r="P40" s="56" t="str">
        <f>'20 Spieler'!$AG$62</f>
        <v> </v>
      </c>
      <c r="Q40" s="56" t="str">
        <f>'20 Spieler'!$AE$28</f>
        <v> </v>
      </c>
      <c r="R40" s="56" t="str">
        <f>'20 Spieler'!$Y$61</f>
        <v> </v>
      </c>
      <c r="S40" s="56" t="str">
        <f>'20 Spieler'!$W$29</f>
        <v> </v>
      </c>
      <c r="T40" s="56" t="str">
        <f>'20 Spieler'!$Q$60</f>
        <v> </v>
      </c>
      <c r="U40" s="56" t="str">
        <f>'20 Spieler'!$O$30</f>
        <v> </v>
      </c>
      <c r="V40" s="56" t="str">
        <f>'20 Spieler'!$I$59</f>
        <v> </v>
      </c>
      <c r="W40" s="30" t="str">
        <f>'20 Spieler'!$G$40</f>
        <v> </v>
      </c>
      <c r="X40" s="73" t="str">
        <f t="shared" si="27"/>
        <v> </v>
      </c>
      <c r="Y40" s="71">
        <f t="shared" si="28"/>
      </c>
      <c r="Z40" s="60" t="str">
        <f>IF('Tabelle 20'!$C$5=C40,'Tabelle 20'!$R$5,"")&amp;IF('Tabelle 20'!$C$6=C40,'Tabelle 20'!$R$6,"")&amp;IF('Tabelle 20'!$C$7=C40,'Tabelle 20'!$R$7,"")&amp;IF('Tabelle 20'!$C$8=C40,'Tabelle 20'!$R$8,"")&amp;IF('Tabelle 20'!$C$9=C40,'Tabelle 20'!$R$9,"")&amp;IF('Tabelle 20'!$C$10=C40,'Tabelle 20'!$R$10,"")&amp;IF('Tabelle 20'!$C$11=C40,'Tabelle 20'!$R$11,"")&amp;IF('Tabelle 20'!$C$12=C40,'Tabelle 20'!$R$12,"")&amp;IF('Tabelle 20'!$C$13=C40,'Tabelle 20'!$R$13,"")&amp;IF('Tabelle 20'!$C$14=C40,'Tabelle 20'!$R$14,"")&amp;IF('Tabelle 20'!$C$15=C40,'Tabelle 20'!$R$15,"")&amp;IF('Tabelle 20'!$C$16=C40,'Tabelle 20'!$R$16,"")&amp;IF('Tabelle 20'!$C$17=C40,'Tabelle 20'!$R$17,"")&amp;IF('Tabelle 20'!$C$18=C40,'Tabelle 20'!$R$18,"")&amp;IF('Tabelle 20'!$C$19=C40,'Tabelle 20'!$R$19,"")&amp;IF('Tabelle 20'!$C$20=C40,'Tabelle 20'!$R$20,"")&amp;IF('Tabelle 20'!$C$21=C40,'Tabelle 20'!$R$21,"")&amp;IF('Tabelle 20'!$C$22=C40,'Tabelle 20'!$R$22,"")&amp;IF('Tabelle 20'!$C$23=C40,'Tabelle 20'!$R$23,"")&amp;IF('Tabelle 20'!$C$24=C40,'Tabelle 20'!$R$24,"")</f>
        <v> </v>
      </c>
      <c r="AA40" s="2"/>
      <c r="AB40" s="2"/>
      <c r="AC40" s="2"/>
      <c r="AD40" s="2"/>
      <c r="AE40" s="2"/>
      <c r="AF40" s="110">
        <f t="shared" si="29"/>
        <v>10</v>
      </c>
      <c r="AG40" s="111" t="str">
        <f t="shared" si="30"/>
        <v>Spieler 10</v>
      </c>
      <c r="AH40" s="112" t="str">
        <f t="shared" si="31"/>
        <v> </v>
      </c>
      <c r="AI40" s="112" t="str">
        <f t="shared" si="32"/>
        <v> </v>
      </c>
      <c r="AJ40" s="112" t="str">
        <f t="shared" si="33"/>
        <v> </v>
      </c>
      <c r="AK40" s="112" t="str">
        <f t="shared" si="34"/>
        <v> </v>
      </c>
      <c r="AL40" s="112" t="str">
        <f t="shared" si="35"/>
        <v> </v>
      </c>
      <c r="AM40" s="112" t="str">
        <f t="shared" si="36"/>
        <v> </v>
      </c>
      <c r="AN40" s="112" t="str">
        <f t="shared" si="37"/>
        <v> </v>
      </c>
      <c r="AO40" s="112" t="str">
        <f t="shared" si="38"/>
        <v> </v>
      </c>
      <c r="AP40" s="112" t="str">
        <f t="shared" si="39"/>
        <v> </v>
      </c>
      <c r="AQ40" s="112" t="str">
        <f t="shared" si="40"/>
        <v> </v>
      </c>
      <c r="AR40" s="112" t="str">
        <f t="shared" si="41"/>
        <v> </v>
      </c>
      <c r="AS40" s="112" t="str">
        <f t="shared" si="42"/>
        <v> </v>
      </c>
      <c r="AT40" s="112" t="str">
        <f t="shared" si="43"/>
        <v> </v>
      </c>
      <c r="AU40" s="112" t="str">
        <f t="shared" si="44"/>
        <v> </v>
      </c>
      <c r="AV40" s="112" t="str">
        <f t="shared" si="45"/>
        <v> </v>
      </c>
      <c r="AW40" s="112" t="str">
        <f t="shared" si="46"/>
        <v> </v>
      </c>
      <c r="AX40" s="112" t="str">
        <f t="shared" si="47"/>
        <v> </v>
      </c>
      <c r="AY40" s="112" t="str">
        <f t="shared" si="48"/>
        <v> </v>
      </c>
      <c r="AZ40" s="112" t="str">
        <f t="shared" si="49"/>
        <v> </v>
      </c>
      <c r="BA40" s="113" t="str">
        <f t="shared" si="50"/>
        <v> </v>
      </c>
      <c r="BB40" s="114" t="str">
        <f t="shared" si="51"/>
        <v> </v>
      </c>
      <c r="BC40" s="115">
        <f t="shared" si="52"/>
      </c>
      <c r="BD40" s="116" t="str">
        <f t="shared" si="53"/>
        <v> </v>
      </c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ht="24.75" customHeight="1">
      <c r="B41" s="10">
        <v>11</v>
      </c>
      <c r="C41" s="26" t="str">
        <f>Eingabe!$G$6</f>
        <v>Spieler 11</v>
      </c>
      <c r="D41" s="56" t="str">
        <f>'20 Spieler'!$AO$45</f>
        <v> </v>
      </c>
      <c r="E41" s="56" t="str">
        <f>'20 Spieler'!$AM$17</f>
        <v> </v>
      </c>
      <c r="F41" s="56" t="str">
        <f>'20 Spieler'!$AG$44</f>
        <v> </v>
      </c>
      <c r="G41" s="56" t="str">
        <f>'20 Spieler'!$AE$18</f>
        <v> </v>
      </c>
      <c r="H41" s="56" t="str">
        <f>'20 Spieler'!$Y$43</f>
        <v> </v>
      </c>
      <c r="I41" s="56" t="str">
        <f>'20 Spieler'!$W$19</f>
        <v> </v>
      </c>
      <c r="J41" s="56" t="str">
        <f>'20 Spieler'!$Q$42</f>
        <v> </v>
      </c>
      <c r="K41" s="56" t="str">
        <f>'20 Spieler'!$O$20</f>
        <v> </v>
      </c>
      <c r="L41" s="56" t="str">
        <f>'20 Spieler'!$I$41</f>
        <v> </v>
      </c>
      <c r="M41" s="56" t="str">
        <f>'20 Spieler'!$G$21</f>
        <v> </v>
      </c>
      <c r="N41" s="66"/>
      <c r="O41" s="56" t="str">
        <f>'20 Spieler'!$AG$63</f>
        <v> </v>
      </c>
      <c r="P41" s="56" t="str">
        <f>'20 Spieler'!$AE$27</f>
        <v> </v>
      </c>
      <c r="Q41" s="56" t="str">
        <f>'20 Spieler'!$Y$62</f>
        <v> </v>
      </c>
      <c r="R41" s="56" t="str">
        <f>'20 Spieler'!$W$28</f>
        <v> </v>
      </c>
      <c r="S41" s="56" t="str">
        <f>'20 Spieler'!$Q$61</f>
        <v> </v>
      </c>
      <c r="T41" s="56" t="str">
        <f>'20 Spieler'!$O$29</f>
        <v> </v>
      </c>
      <c r="U41" s="56" t="str">
        <f>'20 Spieler'!$I$60</f>
        <v> </v>
      </c>
      <c r="V41" s="56" t="str">
        <f>'20 Spieler'!$G$30</f>
        <v> </v>
      </c>
      <c r="W41" s="30" t="str">
        <f>'20 Spieler'!$AM$26</f>
        <v> </v>
      </c>
      <c r="X41" s="73" t="str">
        <f t="shared" si="27"/>
        <v> </v>
      </c>
      <c r="Y41" s="71">
        <f t="shared" si="28"/>
      </c>
      <c r="Z41" s="60" t="str">
        <f>IF('Tabelle 20'!$C$5=C41,'Tabelle 20'!$R$5,"")&amp;IF('Tabelle 20'!$C$6=C41,'Tabelle 20'!$R$6,"")&amp;IF('Tabelle 20'!$C$7=C41,'Tabelle 20'!$R$7,"")&amp;IF('Tabelle 20'!$C$8=C41,'Tabelle 20'!$R$8,"")&amp;IF('Tabelle 20'!$C$9=C41,'Tabelle 20'!$R$9,"")&amp;IF('Tabelle 20'!$C$10=C41,'Tabelle 20'!$R$10,"")&amp;IF('Tabelle 20'!$C$11=C41,'Tabelle 20'!$R$11,"")&amp;IF('Tabelle 20'!$C$12=C41,'Tabelle 20'!$R$12,"")&amp;IF('Tabelle 20'!$C$13=C41,'Tabelle 20'!$R$13,"")&amp;IF('Tabelle 20'!$C$14=C41,'Tabelle 20'!$R$14,"")&amp;IF('Tabelle 20'!$C$15=C41,'Tabelle 20'!$R$15,"")&amp;IF('Tabelle 20'!$C$16=C41,'Tabelle 20'!$R$16,"")&amp;IF('Tabelle 20'!$C$17=C41,'Tabelle 20'!$R$17,"")&amp;IF('Tabelle 20'!$C$18=C41,'Tabelle 20'!$R$18,"")&amp;IF('Tabelle 20'!$C$19=C41,'Tabelle 20'!$R$19,"")&amp;IF('Tabelle 20'!$C$20=C41,'Tabelle 20'!$R$20,"")&amp;IF('Tabelle 20'!$C$21=C41,'Tabelle 20'!$R$21,"")&amp;IF('Tabelle 20'!$C$22=C41,'Tabelle 20'!$R$22,"")&amp;IF('Tabelle 20'!$C$23=C41,'Tabelle 20'!$R$23,"")&amp;IF('Tabelle 20'!$C$24=C41,'Tabelle 20'!$R$24,"")</f>
        <v> </v>
      </c>
      <c r="AA41" s="2"/>
      <c r="AB41" s="2"/>
      <c r="AC41" s="2"/>
      <c r="AD41" s="2"/>
      <c r="AE41" s="2"/>
      <c r="AF41" s="110">
        <f t="shared" si="29"/>
        <v>11</v>
      </c>
      <c r="AG41" s="111" t="str">
        <f t="shared" si="30"/>
        <v>Spieler 11</v>
      </c>
      <c r="AH41" s="112" t="str">
        <f t="shared" si="31"/>
        <v> </v>
      </c>
      <c r="AI41" s="112" t="str">
        <f t="shared" si="32"/>
        <v> </v>
      </c>
      <c r="AJ41" s="112" t="str">
        <f t="shared" si="33"/>
        <v> </v>
      </c>
      <c r="AK41" s="112" t="str">
        <f t="shared" si="34"/>
        <v> </v>
      </c>
      <c r="AL41" s="112" t="str">
        <f t="shared" si="35"/>
        <v> </v>
      </c>
      <c r="AM41" s="112" t="str">
        <f t="shared" si="36"/>
        <v> </v>
      </c>
      <c r="AN41" s="112" t="str">
        <f t="shared" si="37"/>
        <v> </v>
      </c>
      <c r="AO41" s="112" t="str">
        <f t="shared" si="38"/>
        <v> </v>
      </c>
      <c r="AP41" s="112" t="str">
        <f t="shared" si="39"/>
        <v> </v>
      </c>
      <c r="AQ41" s="112" t="str">
        <f t="shared" si="40"/>
        <v> </v>
      </c>
      <c r="AR41" s="112" t="str">
        <f t="shared" si="41"/>
        <v> </v>
      </c>
      <c r="AS41" s="112" t="str">
        <f t="shared" si="42"/>
        <v> </v>
      </c>
      <c r="AT41" s="112" t="str">
        <f t="shared" si="43"/>
        <v> </v>
      </c>
      <c r="AU41" s="112" t="str">
        <f t="shared" si="44"/>
        <v> </v>
      </c>
      <c r="AV41" s="112" t="str">
        <f t="shared" si="45"/>
        <v> </v>
      </c>
      <c r="AW41" s="112" t="str">
        <f t="shared" si="46"/>
        <v> </v>
      </c>
      <c r="AX41" s="112" t="str">
        <f t="shared" si="47"/>
        <v> </v>
      </c>
      <c r="AY41" s="112" t="str">
        <f t="shared" si="48"/>
        <v> </v>
      </c>
      <c r="AZ41" s="112" t="str">
        <f t="shared" si="49"/>
        <v> </v>
      </c>
      <c r="BA41" s="113" t="str">
        <f t="shared" si="50"/>
        <v> </v>
      </c>
      <c r="BB41" s="114" t="str">
        <f t="shared" si="51"/>
        <v> </v>
      </c>
      <c r="BC41" s="115">
        <f t="shared" si="52"/>
      </c>
      <c r="BD41" s="116" t="str">
        <f t="shared" si="53"/>
        <v> </v>
      </c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ht="24.75" customHeight="1">
      <c r="B42" s="10">
        <v>12</v>
      </c>
      <c r="C42" s="26" t="str">
        <f>Eingabe!$G$7</f>
        <v>Spieler 12</v>
      </c>
      <c r="D42" s="56" t="str">
        <f>'20 Spieler'!$AM$16</f>
        <v> </v>
      </c>
      <c r="E42" s="56" t="str">
        <f>'20 Spieler'!$AG$45</f>
        <v> </v>
      </c>
      <c r="F42" s="56" t="str">
        <f>'20 Spieler'!$AE$17</f>
        <v> </v>
      </c>
      <c r="G42" s="56" t="str">
        <f>'20 Spieler'!$Y$44</f>
        <v> </v>
      </c>
      <c r="H42" s="56" t="str">
        <f>'20 Spieler'!$W$18</f>
        <v> </v>
      </c>
      <c r="I42" s="56" t="str">
        <f>'20 Spieler'!$Q$43</f>
        <v> </v>
      </c>
      <c r="J42" s="56" t="str">
        <f>'20 Spieler'!$O$19</f>
        <v> </v>
      </c>
      <c r="K42" s="56" t="str">
        <f>'20 Spieler'!$I$42</f>
        <v> </v>
      </c>
      <c r="L42" s="56" t="str">
        <f>'20 Spieler'!$G$20</f>
        <v> </v>
      </c>
      <c r="M42" s="56" t="str">
        <f>'20 Spieler'!$AO$27</f>
        <v> </v>
      </c>
      <c r="N42" s="56" t="str">
        <f>'20 Spieler'!$AE$63</f>
        <v> </v>
      </c>
      <c r="O42" s="66"/>
      <c r="P42" s="56" t="str">
        <f>'20 Spieler'!$Y$63</f>
        <v> </v>
      </c>
      <c r="Q42" s="56" t="str">
        <f>'20 Spieler'!$W$27</f>
        <v> </v>
      </c>
      <c r="R42" s="56" t="str">
        <f>'20 Spieler'!$Q$62</f>
        <v> </v>
      </c>
      <c r="S42" s="56" t="str">
        <f>'20 Spieler'!$O$28</f>
        <v> </v>
      </c>
      <c r="T42" s="56" t="str">
        <f>'20 Spieler'!$I$61</f>
        <v> </v>
      </c>
      <c r="U42" s="56" t="str">
        <f>'20 Spieler'!$G$29</f>
        <v> </v>
      </c>
      <c r="V42" s="56" t="str">
        <f>'20 Spieler'!$AO$46</f>
        <v> </v>
      </c>
      <c r="W42" s="30" t="str">
        <f>'20 Spieler'!$AE$26</f>
        <v> </v>
      </c>
      <c r="X42" s="73" t="str">
        <f t="shared" si="27"/>
        <v> </v>
      </c>
      <c r="Y42" s="71">
        <f t="shared" si="28"/>
      </c>
      <c r="Z42" s="60" t="str">
        <f>IF('Tabelle 20'!$C$5=C42,'Tabelle 20'!$R$5,"")&amp;IF('Tabelle 20'!$C$6=C42,'Tabelle 20'!$R$6,"")&amp;IF('Tabelle 20'!$C$7=C42,'Tabelle 20'!$R$7,"")&amp;IF('Tabelle 20'!$C$8=C42,'Tabelle 20'!$R$8,"")&amp;IF('Tabelle 20'!$C$9=C42,'Tabelle 20'!$R$9,"")&amp;IF('Tabelle 20'!$C$10=C42,'Tabelle 20'!$R$10,"")&amp;IF('Tabelle 20'!$C$11=C42,'Tabelle 20'!$R$11,"")&amp;IF('Tabelle 20'!$C$12=C42,'Tabelle 20'!$R$12,"")&amp;IF('Tabelle 20'!$C$13=C42,'Tabelle 20'!$R$13,"")&amp;IF('Tabelle 20'!$C$14=C42,'Tabelle 20'!$R$14,"")&amp;IF('Tabelle 20'!$C$15=C42,'Tabelle 20'!$R$15,"")&amp;IF('Tabelle 20'!$C$16=C42,'Tabelle 20'!$R$16,"")&amp;IF('Tabelle 20'!$C$17=C42,'Tabelle 20'!$R$17,"")&amp;IF('Tabelle 20'!$C$18=C42,'Tabelle 20'!$R$18,"")&amp;IF('Tabelle 20'!$C$19=C42,'Tabelle 20'!$R$19,"")&amp;IF('Tabelle 20'!$C$20=C42,'Tabelle 20'!$R$20,"")&amp;IF('Tabelle 20'!$C$21=C42,'Tabelle 20'!$R$21,"")&amp;IF('Tabelle 20'!$C$22=C42,'Tabelle 20'!$R$22,"")&amp;IF('Tabelle 20'!$C$23=C42,'Tabelle 20'!$R$23,"")&amp;IF('Tabelle 20'!$C$24=C42,'Tabelle 20'!$R$24,"")</f>
        <v> </v>
      </c>
      <c r="AA42" s="2"/>
      <c r="AB42" s="2"/>
      <c r="AC42" s="2"/>
      <c r="AD42" s="2"/>
      <c r="AE42" s="2"/>
      <c r="AF42" s="110">
        <f t="shared" si="29"/>
        <v>12</v>
      </c>
      <c r="AG42" s="111" t="str">
        <f t="shared" si="30"/>
        <v>Spieler 12</v>
      </c>
      <c r="AH42" s="112" t="str">
        <f t="shared" si="31"/>
        <v> </v>
      </c>
      <c r="AI42" s="112" t="str">
        <f t="shared" si="32"/>
        <v> </v>
      </c>
      <c r="AJ42" s="112" t="str">
        <f t="shared" si="33"/>
        <v> </v>
      </c>
      <c r="AK42" s="112" t="str">
        <f t="shared" si="34"/>
        <v> </v>
      </c>
      <c r="AL42" s="112" t="str">
        <f t="shared" si="35"/>
        <v> </v>
      </c>
      <c r="AM42" s="112" t="str">
        <f t="shared" si="36"/>
        <v> </v>
      </c>
      <c r="AN42" s="112" t="str">
        <f t="shared" si="37"/>
        <v> </v>
      </c>
      <c r="AO42" s="112" t="str">
        <f t="shared" si="38"/>
        <v> </v>
      </c>
      <c r="AP42" s="112" t="str">
        <f t="shared" si="39"/>
        <v> </v>
      </c>
      <c r="AQ42" s="112" t="str">
        <f t="shared" si="40"/>
        <v> </v>
      </c>
      <c r="AR42" s="112" t="str">
        <f t="shared" si="41"/>
        <v> </v>
      </c>
      <c r="AS42" s="112" t="str">
        <f t="shared" si="42"/>
        <v> </v>
      </c>
      <c r="AT42" s="112" t="str">
        <f t="shared" si="43"/>
        <v> </v>
      </c>
      <c r="AU42" s="112" t="str">
        <f t="shared" si="44"/>
        <v> </v>
      </c>
      <c r="AV42" s="112" t="str">
        <f t="shared" si="45"/>
        <v> </v>
      </c>
      <c r="AW42" s="112" t="str">
        <f t="shared" si="46"/>
        <v> </v>
      </c>
      <c r="AX42" s="112" t="str">
        <f t="shared" si="47"/>
        <v> </v>
      </c>
      <c r="AY42" s="112" t="str">
        <f t="shared" si="48"/>
        <v> </v>
      </c>
      <c r="AZ42" s="112" t="str">
        <f t="shared" si="49"/>
        <v> </v>
      </c>
      <c r="BA42" s="113" t="str">
        <f t="shared" si="50"/>
        <v> </v>
      </c>
      <c r="BB42" s="114" t="str">
        <f t="shared" si="51"/>
        <v> </v>
      </c>
      <c r="BC42" s="115">
        <f t="shared" si="52"/>
      </c>
      <c r="BD42" s="116" t="str">
        <f t="shared" si="53"/>
        <v> </v>
      </c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ht="24.75" customHeight="1">
      <c r="B43" s="10">
        <v>13</v>
      </c>
      <c r="C43" s="26" t="str">
        <f>Eingabe!$G$8</f>
        <v>Spieler 13</v>
      </c>
      <c r="D43" s="56" t="str">
        <f>'20 Spieler'!$AG$46</f>
        <v> </v>
      </c>
      <c r="E43" s="56" t="str">
        <f>'20 Spieler'!$AE$16</f>
        <v> </v>
      </c>
      <c r="F43" s="56" t="str">
        <f>'20 Spieler'!$Y$45</f>
        <v> </v>
      </c>
      <c r="G43" s="56" t="str">
        <f>'20 Spieler'!$W$17</f>
        <v> </v>
      </c>
      <c r="H43" s="56" t="str">
        <f>'20 Spieler'!$Q$44</f>
        <v> </v>
      </c>
      <c r="I43" s="56" t="str">
        <f>'20 Spieler'!$O$18</f>
        <v> </v>
      </c>
      <c r="J43" s="56" t="str">
        <f>'20 Spieler'!$I$43</f>
        <v> </v>
      </c>
      <c r="K43" s="56" t="str">
        <f>'20 Spieler'!$G$19</f>
        <v> </v>
      </c>
      <c r="L43" s="56" t="str">
        <f>'20 Spieler'!$AO$28</f>
        <v> </v>
      </c>
      <c r="M43" s="56" t="str">
        <f>'20 Spieler'!$AE$62</f>
        <v> </v>
      </c>
      <c r="N43" s="56" t="str">
        <f>'20 Spieler'!$AG$27</f>
        <v> </v>
      </c>
      <c r="O43" s="56" t="str">
        <f>'20 Spieler'!$W$63</f>
        <v> </v>
      </c>
      <c r="P43" s="66"/>
      <c r="Q43" s="56" t="str">
        <f>'20 Spieler'!$Q$63</f>
        <v> </v>
      </c>
      <c r="R43" s="56" t="str">
        <f>'20 Spieler'!$O$27</f>
        <v> </v>
      </c>
      <c r="S43" s="56" t="str">
        <f>'20 Spieler'!$I$62</f>
        <v> </v>
      </c>
      <c r="T43" s="56" t="str">
        <f>'20 Spieler'!$G$28</f>
        <v> </v>
      </c>
      <c r="U43" s="56" t="str">
        <f>'20 Spieler'!$AO$47</f>
        <v> </v>
      </c>
      <c r="V43" s="56" t="str">
        <f>'20 Spieler'!$AM$15</f>
        <v> </v>
      </c>
      <c r="W43" s="30" t="str">
        <f>'20 Spieler'!$W$26</f>
        <v> </v>
      </c>
      <c r="X43" s="73" t="str">
        <f t="shared" si="27"/>
        <v> </v>
      </c>
      <c r="Y43" s="71">
        <f t="shared" si="28"/>
      </c>
      <c r="Z43" s="60" t="str">
        <f>IF('Tabelle 20'!$C$5=C43,'Tabelle 20'!$R$5,"")&amp;IF('Tabelle 20'!$C$6=C43,'Tabelle 20'!$R$6,"")&amp;IF('Tabelle 20'!$C$7=C43,'Tabelle 20'!$R$7,"")&amp;IF('Tabelle 20'!$C$8=C43,'Tabelle 20'!$R$8,"")&amp;IF('Tabelle 20'!$C$9=C43,'Tabelle 20'!$R$9,"")&amp;IF('Tabelle 20'!$C$10=C43,'Tabelle 20'!$R$10,"")&amp;IF('Tabelle 20'!$C$11=C43,'Tabelle 20'!$R$11,"")&amp;IF('Tabelle 20'!$C$12=C43,'Tabelle 20'!$R$12,"")&amp;IF('Tabelle 20'!$C$13=C43,'Tabelle 20'!$R$13,"")&amp;IF('Tabelle 20'!$C$14=C43,'Tabelle 20'!$R$14,"")&amp;IF('Tabelle 20'!$C$15=C43,'Tabelle 20'!$R$15,"")&amp;IF('Tabelle 20'!$C$16=C43,'Tabelle 20'!$R$16,"")&amp;IF('Tabelle 20'!$C$17=C43,'Tabelle 20'!$R$17,"")&amp;IF('Tabelle 20'!$C$18=C43,'Tabelle 20'!$R$18,"")&amp;IF('Tabelle 20'!$C$19=C43,'Tabelle 20'!$R$19,"")&amp;IF('Tabelle 20'!$C$20=C43,'Tabelle 20'!$R$20,"")&amp;IF('Tabelle 20'!$C$21=C43,'Tabelle 20'!$R$21,"")&amp;IF('Tabelle 20'!$C$22=C43,'Tabelle 20'!$R$22,"")&amp;IF('Tabelle 20'!$C$23=C43,'Tabelle 20'!$R$23,"")&amp;IF('Tabelle 20'!$C$24=C43,'Tabelle 20'!$R$24,"")</f>
        <v> </v>
      </c>
      <c r="AA43" s="2"/>
      <c r="AB43" s="2"/>
      <c r="AC43" s="2"/>
      <c r="AD43" s="2"/>
      <c r="AE43" s="2"/>
      <c r="AF43" s="110">
        <f t="shared" si="29"/>
        <v>13</v>
      </c>
      <c r="AG43" s="111" t="str">
        <f t="shared" si="30"/>
        <v>Spieler 13</v>
      </c>
      <c r="AH43" s="112" t="str">
        <f t="shared" si="31"/>
        <v> </v>
      </c>
      <c r="AI43" s="112" t="str">
        <f t="shared" si="32"/>
        <v> </v>
      </c>
      <c r="AJ43" s="112" t="str">
        <f t="shared" si="33"/>
        <v> </v>
      </c>
      <c r="AK43" s="112" t="str">
        <f t="shared" si="34"/>
        <v> </v>
      </c>
      <c r="AL43" s="112" t="str">
        <f t="shared" si="35"/>
        <v> </v>
      </c>
      <c r="AM43" s="112" t="str">
        <f t="shared" si="36"/>
        <v> </v>
      </c>
      <c r="AN43" s="112" t="str">
        <f t="shared" si="37"/>
        <v> </v>
      </c>
      <c r="AO43" s="112" t="str">
        <f t="shared" si="38"/>
        <v> </v>
      </c>
      <c r="AP43" s="112" t="str">
        <f t="shared" si="39"/>
        <v> </v>
      </c>
      <c r="AQ43" s="112" t="str">
        <f t="shared" si="40"/>
        <v> </v>
      </c>
      <c r="AR43" s="112" t="str">
        <f t="shared" si="41"/>
        <v> </v>
      </c>
      <c r="AS43" s="112" t="str">
        <f t="shared" si="42"/>
        <v> </v>
      </c>
      <c r="AT43" s="112" t="str">
        <f t="shared" si="43"/>
        <v> </v>
      </c>
      <c r="AU43" s="112" t="str">
        <f t="shared" si="44"/>
        <v> </v>
      </c>
      <c r="AV43" s="112" t="str">
        <f t="shared" si="45"/>
        <v> </v>
      </c>
      <c r="AW43" s="112" t="str">
        <f t="shared" si="46"/>
        <v> </v>
      </c>
      <c r="AX43" s="112" t="str">
        <f t="shared" si="47"/>
        <v> </v>
      </c>
      <c r="AY43" s="112" t="str">
        <f t="shared" si="48"/>
        <v> </v>
      </c>
      <c r="AZ43" s="112" t="str">
        <f t="shared" si="49"/>
        <v> </v>
      </c>
      <c r="BA43" s="113" t="str">
        <f t="shared" si="50"/>
        <v> </v>
      </c>
      <c r="BB43" s="114" t="str">
        <f t="shared" si="51"/>
        <v> </v>
      </c>
      <c r="BC43" s="115">
        <f t="shared" si="52"/>
      </c>
      <c r="BD43" s="116" t="str">
        <f t="shared" si="53"/>
        <v> </v>
      </c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ht="24.75" customHeight="1">
      <c r="B44" s="10">
        <v>14</v>
      </c>
      <c r="C44" s="26" t="str">
        <f>Eingabe!$G$9</f>
        <v>Spieler 14</v>
      </c>
      <c r="D44" s="56" t="str">
        <f>'20 Spieler'!$AE$15</f>
        <v> </v>
      </c>
      <c r="E44" s="56" t="str">
        <f>'20 Spieler'!$Y$46</f>
        <v> </v>
      </c>
      <c r="F44" s="56" t="str">
        <f>'20 Spieler'!$W$16</f>
        <v> </v>
      </c>
      <c r="G44" s="56" t="str">
        <f>'20 Spieler'!$Q$45</f>
        <v> </v>
      </c>
      <c r="H44" s="56" t="str">
        <f>'20 Spieler'!$O$17</f>
        <v> </v>
      </c>
      <c r="I44" s="56" t="str">
        <f>'20 Spieler'!$I$44</f>
        <v> </v>
      </c>
      <c r="J44" s="56" t="str">
        <f>'20 Spieler'!$G$18</f>
        <v> </v>
      </c>
      <c r="K44" s="56" t="str">
        <f>'20 Spieler'!$AO$29</f>
        <v> </v>
      </c>
      <c r="L44" s="56" t="str">
        <f>'20 Spieler'!$AE$61</f>
        <v> </v>
      </c>
      <c r="M44" s="56" t="str">
        <f>'20 Spieler'!$AG$28</f>
        <v> </v>
      </c>
      <c r="N44" s="56" t="str">
        <f>'20 Spieler'!$W$62</f>
        <v> </v>
      </c>
      <c r="O44" s="56" t="str">
        <f>'20 Spieler'!$Y$27</f>
        <v> </v>
      </c>
      <c r="P44" s="56" t="str">
        <f>'20 Spieler'!$O$63</f>
        <v> </v>
      </c>
      <c r="Q44" s="66"/>
      <c r="R44" s="56" t="str">
        <f>'20 Spieler'!$I$63</f>
        <v> </v>
      </c>
      <c r="S44" s="56" t="str">
        <f>'20 Spieler'!$G$27</f>
        <v> </v>
      </c>
      <c r="T44" s="56" t="str">
        <f>'20 Spieler'!$AO$48</f>
        <v> </v>
      </c>
      <c r="U44" s="56" t="str">
        <f>'20 Spieler'!$AM$14</f>
        <v> </v>
      </c>
      <c r="V44" s="56" t="str">
        <f>'20 Spieler'!$AG$47</f>
        <v> </v>
      </c>
      <c r="W44" s="30" t="str">
        <f>'20 Spieler'!$O$26</f>
        <v> </v>
      </c>
      <c r="X44" s="73" t="str">
        <f t="shared" si="27"/>
        <v> </v>
      </c>
      <c r="Y44" s="71">
        <f t="shared" si="28"/>
      </c>
      <c r="Z44" s="60" t="str">
        <f>IF('Tabelle 20'!$C$5=C44,'Tabelle 20'!$R$5,"")&amp;IF('Tabelle 20'!$C$6=C44,'Tabelle 20'!$R$6,"")&amp;IF('Tabelle 20'!$C$7=C44,'Tabelle 20'!$R$7,"")&amp;IF('Tabelle 20'!$C$8=C44,'Tabelle 20'!$R$8,"")&amp;IF('Tabelle 20'!$C$9=C44,'Tabelle 20'!$R$9,"")&amp;IF('Tabelle 20'!$C$10=C44,'Tabelle 20'!$R$10,"")&amp;IF('Tabelle 20'!$C$11=C44,'Tabelle 20'!$R$11,"")&amp;IF('Tabelle 20'!$C$12=C44,'Tabelle 20'!$R$12,"")&amp;IF('Tabelle 20'!$C$13=C44,'Tabelle 20'!$R$13,"")&amp;IF('Tabelle 20'!$C$14=C44,'Tabelle 20'!$R$14,"")&amp;IF('Tabelle 20'!$C$15=C44,'Tabelle 20'!$R$15,"")&amp;IF('Tabelle 20'!$C$16=C44,'Tabelle 20'!$R$16,"")&amp;IF('Tabelle 20'!$C$17=C44,'Tabelle 20'!$R$17,"")&amp;IF('Tabelle 20'!$C$18=C44,'Tabelle 20'!$R$18,"")&amp;IF('Tabelle 20'!$C$19=C44,'Tabelle 20'!$R$19,"")&amp;IF('Tabelle 20'!$C$20=C44,'Tabelle 20'!$R$20,"")&amp;IF('Tabelle 20'!$C$21=C44,'Tabelle 20'!$R$21,"")&amp;IF('Tabelle 20'!$C$22=C44,'Tabelle 20'!$R$22,"")&amp;IF('Tabelle 20'!$C$23=C44,'Tabelle 20'!$R$23,"")&amp;IF('Tabelle 20'!$C$24=C44,'Tabelle 20'!$R$24,"")</f>
        <v> </v>
      </c>
      <c r="AA44" s="2"/>
      <c r="AB44" s="2"/>
      <c r="AC44" s="2"/>
      <c r="AD44" s="2"/>
      <c r="AE44" s="2"/>
      <c r="AF44" s="110">
        <f t="shared" si="29"/>
        <v>14</v>
      </c>
      <c r="AG44" s="111" t="str">
        <f t="shared" si="30"/>
        <v>Spieler 14</v>
      </c>
      <c r="AH44" s="112" t="str">
        <f t="shared" si="31"/>
        <v> </v>
      </c>
      <c r="AI44" s="112" t="str">
        <f t="shared" si="32"/>
        <v> </v>
      </c>
      <c r="AJ44" s="112" t="str">
        <f t="shared" si="33"/>
        <v> </v>
      </c>
      <c r="AK44" s="112" t="str">
        <f t="shared" si="34"/>
        <v> </v>
      </c>
      <c r="AL44" s="112" t="str">
        <f t="shared" si="35"/>
        <v> </v>
      </c>
      <c r="AM44" s="112" t="str">
        <f t="shared" si="36"/>
        <v> </v>
      </c>
      <c r="AN44" s="112" t="str">
        <f t="shared" si="37"/>
        <v> </v>
      </c>
      <c r="AO44" s="112" t="str">
        <f t="shared" si="38"/>
        <v> </v>
      </c>
      <c r="AP44" s="112" t="str">
        <f t="shared" si="39"/>
        <v> </v>
      </c>
      <c r="AQ44" s="112" t="str">
        <f t="shared" si="40"/>
        <v> </v>
      </c>
      <c r="AR44" s="112" t="str">
        <f t="shared" si="41"/>
        <v> </v>
      </c>
      <c r="AS44" s="112" t="str">
        <f t="shared" si="42"/>
        <v> </v>
      </c>
      <c r="AT44" s="112" t="str">
        <f t="shared" si="43"/>
        <v> </v>
      </c>
      <c r="AU44" s="112" t="str">
        <f t="shared" si="44"/>
        <v> </v>
      </c>
      <c r="AV44" s="112" t="str">
        <f t="shared" si="45"/>
        <v> </v>
      </c>
      <c r="AW44" s="112" t="str">
        <f t="shared" si="46"/>
        <v> </v>
      </c>
      <c r="AX44" s="112" t="str">
        <f t="shared" si="47"/>
        <v> </v>
      </c>
      <c r="AY44" s="112" t="str">
        <f t="shared" si="48"/>
        <v> </v>
      </c>
      <c r="AZ44" s="112" t="str">
        <f t="shared" si="49"/>
        <v> </v>
      </c>
      <c r="BA44" s="113" t="str">
        <f t="shared" si="50"/>
        <v> </v>
      </c>
      <c r="BB44" s="114" t="str">
        <f t="shared" si="51"/>
        <v> </v>
      </c>
      <c r="BC44" s="115">
        <f t="shared" si="52"/>
      </c>
      <c r="BD44" s="116" t="str">
        <f t="shared" si="53"/>
        <v> </v>
      </c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ht="24.75" customHeight="1">
      <c r="B45" s="10">
        <v>15</v>
      </c>
      <c r="C45" s="26" t="str">
        <f>Eingabe!$G$10</f>
        <v>Spieler 15</v>
      </c>
      <c r="D45" s="56" t="str">
        <f>'20 Spieler'!$Y$47</f>
        <v> </v>
      </c>
      <c r="E45" s="56" t="str">
        <f>'20 Spieler'!$W$15</f>
        <v> </v>
      </c>
      <c r="F45" s="56" t="str">
        <f>'20 Spieler'!$Q$46</f>
        <v> </v>
      </c>
      <c r="G45" s="56" t="str">
        <f>'20 Spieler'!$O$16</f>
        <v> </v>
      </c>
      <c r="H45" s="56" t="str">
        <f>'20 Spieler'!$I$45</f>
        <v> </v>
      </c>
      <c r="I45" s="56" t="str">
        <f>'20 Spieler'!$G$17</f>
        <v> </v>
      </c>
      <c r="J45" s="56" t="str">
        <f>'20 Spieler'!$AO$30</f>
        <v> </v>
      </c>
      <c r="K45" s="56" t="str">
        <f>'20 Spieler'!$AE$60</f>
        <v> </v>
      </c>
      <c r="L45" s="56" t="str">
        <f>'20 Spieler'!$AG$29</f>
        <v> </v>
      </c>
      <c r="M45" s="56" t="str">
        <f>'20 Spieler'!$W$61</f>
        <v> </v>
      </c>
      <c r="N45" s="56" t="str">
        <f>'20 Spieler'!$Y$28</f>
        <v> </v>
      </c>
      <c r="O45" s="56" t="str">
        <f>'20 Spieler'!$O$62</f>
        <v> </v>
      </c>
      <c r="P45" s="56" t="str">
        <f>'20 Spieler'!$Q$27</f>
        <v> </v>
      </c>
      <c r="Q45" s="56" t="str">
        <f>'20 Spieler'!$G$63</f>
        <v> </v>
      </c>
      <c r="R45" s="66"/>
      <c r="S45" s="56" t="str">
        <f>'20 Spieler'!$AO$49</f>
        <v> </v>
      </c>
      <c r="T45" s="56" t="str">
        <f>'20 Spieler'!$AM$13</f>
        <v> </v>
      </c>
      <c r="U45" s="56" t="str">
        <f>'20 Spieler'!$AG$48</f>
        <v> </v>
      </c>
      <c r="V45" s="56" t="str">
        <f>'20 Spieler'!$AE$14</f>
        <v> </v>
      </c>
      <c r="W45" s="30" t="str">
        <f>'20 Spieler'!$G$26</f>
        <v> </v>
      </c>
      <c r="X45" s="73" t="str">
        <f t="shared" si="27"/>
        <v> </v>
      </c>
      <c r="Y45" s="71">
        <f t="shared" si="28"/>
      </c>
      <c r="Z45" s="60" t="str">
        <f>IF('Tabelle 20'!$C$5=C45,'Tabelle 20'!$R$5,"")&amp;IF('Tabelle 20'!$C$6=C45,'Tabelle 20'!$R$6,"")&amp;IF('Tabelle 20'!$C$7=C45,'Tabelle 20'!$R$7,"")&amp;IF('Tabelle 20'!$C$8=C45,'Tabelle 20'!$R$8,"")&amp;IF('Tabelle 20'!$C$9=C45,'Tabelle 20'!$R$9,"")&amp;IF('Tabelle 20'!$C$10=C45,'Tabelle 20'!$R$10,"")&amp;IF('Tabelle 20'!$C$11=C45,'Tabelle 20'!$R$11,"")&amp;IF('Tabelle 20'!$C$12=C45,'Tabelle 20'!$R$12,"")&amp;IF('Tabelle 20'!$C$13=C45,'Tabelle 20'!$R$13,"")&amp;IF('Tabelle 20'!$C$14=C45,'Tabelle 20'!$R$14,"")&amp;IF('Tabelle 20'!$C$15=C45,'Tabelle 20'!$R$15,"")&amp;IF('Tabelle 20'!$C$16=C45,'Tabelle 20'!$R$16,"")&amp;IF('Tabelle 20'!$C$17=C45,'Tabelle 20'!$R$17,"")&amp;IF('Tabelle 20'!$C$18=C45,'Tabelle 20'!$R$18,"")&amp;IF('Tabelle 20'!$C$19=C45,'Tabelle 20'!$R$19,"")&amp;IF('Tabelle 20'!$C$20=C45,'Tabelle 20'!$R$20,"")&amp;IF('Tabelle 20'!$C$21=C45,'Tabelle 20'!$R$21,"")&amp;IF('Tabelle 20'!$C$22=C45,'Tabelle 20'!$R$22,"")&amp;IF('Tabelle 20'!$C$23=C45,'Tabelle 20'!$R$23,"")&amp;IF('Tabelle 20'!$C$24=C45,'Tabelle 20'!$R$24,"")</f>
        <v> </v>
      </c>
      <c r="AA45" s="2"/>
      <c r="AB45" s="2"/>
      <c r="AC45" s="2"/>
      <c r="AD45" s="2"/>
      <c r="AE45" s="2"/>
      <c r="AF45" s="110">
        <f t="shared" si="29"/>
        <v>15</v>
      </c>
      <c r="AG45" s="111" t="str">
        <f t="shared" si="30"/>
        <v>Spieler 15</v>
      </c>
      <c r="AH45" s="112" t="str">
        <f t="shared" si="31"/>
        <v> </v>
      </c>
      <c r="AI45" s="112" t="str">
        <f t="shared" si="32"/>
        <v> </v>
      </c>
      <c r="AJ45" s="112" t="str">
        <f t="shared" si="33"/>
        <v> </v>
      </c>
      <c r="AK45" s="112" t="str">
        <f t="shared" si="34"/>
        <v> </v>
      </c>
      <c r="AL45" s="112" t="str">
        <f t="shared" si="35"/>
        <v> </v>
      </c>
      <c r="AM45" s="112" t="str">
        <f t="shared" si="36"/>
        <v> </v>
      </c>
      <c r="AN45" s="112" t="str">
        <f t="shared" si="37"/>
        <v> </v>
      </c>
      <c r="AO45" s="112" t="str">
        <f t="shared" si="38"/>
        <v> </v>
      </c>
      <c r="AP45" s="112" t="str">
        <f t="shared" si="39"/>
        <v> </v>
      </c>
      <c r="AQ45" s="112" t="str">
        <f t="shared" si="40"/>
        <v> </v>
      </c>
      <c r="AR45" s="112" t="str">
        <f t="shared" si="41"/>
        <v> </v>
      </c>
      <c r="AS45" s="112" t="str">
        <f t="shared" si="42"/>
        <v> </v>
      </c>
      <c r="AT45" s="112" t="str">
        <f t="shared" si="43"/>
        <v> </v>
      </c>
      <c r="AU45" s="112" t="str">
        <f t="shared" si="44"/>
        <v> </v>
      </c>
      <c r="AV45" s="112" t="str">
        <f t="shared" si="45"/>
        <v> </v>
      </c>
      <c r="AW45" s="112" t="str">
        <f t="shared" si="46"/>
        <v> </v>
      </c>
      <c r="AX45" s="112" t="str">
        <f t="shared" si="47"/>
        <v> </v>
      </c>
      <c r="AY45" s="112" t="str">
        <f t="shared" si="48"/>
        <v> </v>
      </c>
      <c r="AZ45" s="112" t="str">
        <f t="shared" si="49"/>
        <v> </v>
      </c>
      <c r="BA45" s="113" t="str">
        <f t="shared" si="50"/>
        <v> </v>
      </c>
      <c r="BB45" s="114" t="str">
        <f t="shared" si="51"/>
        <v> </v>
      </c>
      <c r="BC45" s="115">
        <f t="shared" si="52"/>
      </c>
      <c r="BD45" s="116" t="str">
        <f t="shared" si="53"/>
        <v> </v>
      </c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ht="24.75" customHeight="1">
      <c r="B46" s="10">
        <v>16</v>
      </c>
      <c r="C46" s="26" t="str">
        <f>Eingabe!$G$11</f>
        <v>Spieler 16</v>
      </c>
      <c r="D46" s="56" t="str">
        <f>'20 Spieler'!$W$14</f>
        <v> </v>
      </c>
      <c r="E46" s="56" t="str">
        <f>'20 Spieler'!$Q$47</f>
        <v> </v>
      </c>
      <c r="F46" s="56" t="str">
        <f>'20 Spieler'!$O$15</f>
        <v> </v>
      </c>
      <c r="G46" s="56" t="str">
        <f>'20 Spieler'!$I$46</f>
        <v> </v>
      </c>
      <c r="H46" s="56" t="str">
        <f>'20 Spieler'!$G$16</f>
        <v> </v>
      </c>
      <c r="I46" s="56" t="str">
        <f>'20 Spieler'!$AO$31</f>
        <v> </v>
      </c>
      <c r="J46" s="56" t="str">
        <f>'20 Spieler'!$AE$59</f>
        <v> </v>
      </c>
      <c r="K46" s="56" t="str">
        <f>'20 Spieler'!$AG$30</f>
        <v> </v>
      </c>
      <c r="L46" s="56" t="str">
        <f>'20 Spieler'!$W$60</f>
        <v> </v>
      </c>
      <c r="M46" s="56" t="str">
        <f>'20 Spieler'!$Y$29</f>
        <v> </v>
      </c>
      <c r="N46" s="56" t="str">
        <f>'20 Spieler'!$O$61</f>
        <v> </v>
      </c>
      <c r="O46" s="56" t="str">
        <f>'20 Spieler'!$Q$28</f>
        <v> </v>
      </c>
      <c r="P46" s="56" t="str">
        <f>'20 Spieler'!$G$62</f>
        <v> </v>
      </c>
      <c r="Q46" s="56" t="str">
        <f>'20 Spieler'!$I$27</f>
        <v> </v>
      </c>
      <c r="R46" s="56" t="str">
        <f>'20 Spieler'!$AM$49</f>
        <v> </v>
      </c>
      <c r="S46" s="66"/>
      <c r="T46" s="56" t="str">
        <f>'20 Spieler'!$AG$49</f>
        <v> </v>
      </c>
      <c r="U46" s="56" t="str">
        <f>'20 Spieler'!$AE$13</f>
        <v> </v>
      </c>
      <c r="V46" s="56" t="str">
        <f>'20 Spieler'!$Y$48</f>
        <v> </v>
      </c>
      <c r="W46" s="30" t="str">
        <f>'20 Spieler'!$AM$12</f>
        <v> </v>
      </c>
      <c r="X46" s="73" t="str">
        <f t="shared" si="27"/>
        <v> </v>
      </c>
      <c r="Y46" s="71">
        <f t="shared" si="28"/>
      </c>
      <c r="Z46" s="60" t="str">
        <f>IF('Tabelle 20'!$C$5=C46,'Tabelle 20'!$R$5,"")&amp;IF('Tabelle 20'!$C$6=C46,'Tabelle 20'!$R$6,"")&amp;IF('Tabelle 20'!$C$7=C46,'Tabelle 20'!$R$7,"")&amp;IF('Tabelle 20'!$C$8=C46,'Tabelle 20'!$R$8,"")&amp;IF('Tabelle 20'!$C$9=C46,'Tabelle 20'!$R$9,"")&amp;IF('Tabelle 20'!$C$10=C46,'Tabelle 20'!$R$10,"")&amp;IF('Tabelle 20'!$C$11=C46,'Tabelle 20'!$R$11,"")&amp;IF('Tabelle 20'!$C$12=C46,'Tabelle 20'!$R$12,"")&amp;IF('Tabelle 20'!$C$13=C46,'Tabelle 20'!$R$13,"")&amp;IF('Tabelle 20'!$C$14=C46,'Tabelle 20'!$R$14,"")&amp;IF('Tabelle 20'!$C$15=C46,'Tabelle 20'!$R$15,"")&amp;IF('Tabelle 20'!$C$16=C46,'Tabelle 20'!$R$16,"")&amp;IF('Tabelle 20'!$C$17=C46,'Tabelle 20'!$R$17,"")&amp;IF('Tabelle 20'!$C$18=C46,'Tabelle 20'!$R$18,"")&amp;IF('Tabelle 20'!$C$19=C46,'Tabelle 20'!$R$19,"")&amp;IF('Tabelle 20'!$C$20=C46,'Tabelle 20'!$R$20,"")&amp;IF('Tabelle 20'!$C$21=C46,'Tabelle 20'!$R$21,"")&amp;IF('Tabelle 20'!$C$22=C46,'Tabelle 20'!$R$22,"")&amp;IF('Tabelle 20'!$C$23=C46,'Tabelle 20'!$R$23,"")&amp;IF('Tabelle 20'!$C$24=C46,'Tabelle 20'!$R$24,"")</f>
        <v> </v>
      </c>
      <c r="AA46" s="2"/>
      <c r="AB46" s="2"/>
      <c r="AC46" s="2"/>
      <c r="AD46" s="2"/>
      <c r="AE46" s="2"/>
      <c r="AF46" s="110">
        <f t="shared" si="29"/>
        <v>16</v>
      </c>
      <c r="AG46" s="111" t="str">
        <f t="shared" si="30"/>
        <v>Spieler 16</v>
      </c>
      <c r="AH46" s="112" t="str">
        <f t="shared" si="31"/>
        <v> </v>
      </c>
      <c r="AI46" s="112" t="str">
        <f t="shared" si="32"/>
        <v> </v>
      </c>
      <c r="AJ46" s="112" t="str">
        <f t="shared" si="33"/>
        <v> </v>
      </c>
      <c r="AK46" s="112" t="str">
        <f t="shared" si="34"/>
        <v> </v>
      </c>
      <c r="AL46" s="112" t="str">
        <f t="shared" si="35"/>
        <v> </v>
      </c>
      <c r="AM46" s="112" t="str">
        <f t="shared" si="36"/>
        <v> </v>
      </c>
      <c r="AN46" s="112" t="str">
        <f t="shared" si="37"/>
        <v> </v>
      </c>
      <c r="AO46" s="112" t="str">
        <f t="shared" si="38"/>
        <v> </v>
      </c>
      <c r="AP46" s="112" t="str">
        <f t="shared" si="39"/>
        <v> </v>
      </c>
      <c r="AQ46" s="112" t="str">
        <f t="shared" si="40"/>
        <v> </v>
      </c>
      <c r="AR46" s="112" t="str">
        <f t="shared" si="41"/>
        <v> </v>
      </c>
      <c r="AS46" s="112" t="str">
        <f t="shared" si="42"/>
        <v> </v>
      </c>
      <c r="AT46" s="112" t="str">
        <f t="shared" si="43"/>
        <v> </v>
      </c>
      <c r="AU46" s="112" t="str">
        <f t="shared" si="44"/>
        <v> </v>
      </c>
      <c r="AV46" s="112" t="str">
        <f t="shared" si="45"/>
        <v> </v>
      </c>
      <c r="AW46" s="112" t="str">
        <f t="shared" si="46"/>
        <v> </v>
      </c>
      <c r="AX46" s="112" t="str">
        <f t="shared" si="47"/>
        <v> </v>
      </c>
      <c r="AY46" s="112" t="str">
        <f t="shared" si="48"/>
        <v> </v>
      </c>
      <c r="AZ46" s="112" t="str">
        <f t="shared" si="49"/>
        <v> </v>
      </c>
      <c r="BA46" s="113" t="str">
        <f t="shared" si="50"/>
        <v> </v>
      </c>
      <c r="BB46" s="114" t="str">
        <f t="shared" si="51"/>
        <v> </v>
      </c>
      <c r="BC46" s="115">
        <f t="shared" si="52"/>
      </c>
      <c r="BD46" s="116" t="str">
        <f t="shared" si="53"/>
        <v> </v>
      </c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ht="24.75" customHeight="1">
      <c r="B47" s="10">
        <v>17</v>
      </c>
      <c r="C47" s="26" t="str">
        <f>Eingabe!$G$12</f>
        <v>Spieler 17</v>
      </c>
      <c r="D47" s="56" t="str">
        <f>'20 Spieler'!$Q$48</f>
        <v> </v>
      </c>
      <c r="E47" s="56" t="str">
        <f>'20 Spieler'!$O$14</f>
        <v> </v>
      </c>
      <c r="F47" s="56" t="str">
        <f>'20 Spieler'!$I$47</f>
        <v> </v>
      </c>
      <c r="G47" s="56" t="str">
        <f>'20 Spieler'!$G$15</f>
        <v> </v>
      </c>
      <c r="H47" s="56" t="str">
        <f>'20 Spieler'!$AO$32</f>
        <v> </v>
      </c>
      <c r="I47" s="56" t="str">
        <f>'20 Spieler'!$AE$58</f>
        <v> </v>
      </c>
      <c r="J47" s="56" t="str">
        <f>'20 Spieler'!$AG$31</f>
        <v> </v>
      </c>
      <c r="K47" s="56" t="str">
        <f>'20 Spieler'!$W$59</f>
        <v> </v>
      </c>
      <c r="L47" s="56" t="str">
        <f>'20 Spieler'!$Y$30</f>
        <v> </v>
      </c>
      <c r="M47" s="56" t="str">
        <f>'20 Spieler'!$O$60</f>
        <v> </v>
      </c>
      <c r="N47" s="56" t="str">
        <f>'20 Spieler'!$Q$29</f>
        <v> </v>
      </c>
      <c r="O47" s="56" t="str">
        <f>'20 Spieler'!$G$61</f>
        <v> </v>
      </c>
      <c r="P47" s="56" t="str">
        <f>'20 Spieler'!$I$28</f>
        <v> </v>
      </c>
      <c r="Q47" s="56" t="str">
        <f>'20 Spieler'!$AM$48</f>
        <v> </v>
      </c>
      <c r="R47" s="56" t="str">
        <f>'20 Spieler'!$AO$13</f>
        <v> </v>
      </c>
      <c r="S47" s="56" t="str">
        <f>'20 Spieler'!$AE$49</f>
        <v> </v>
      </c>
      <c r="T47" s="66"/>
      <c r="U47" s="56" t="str">
        <f>'20 Spieler'!$Y$49</f>
        <v> </v>
      </c>
      <c r="V47" s="56" t="str">
        <f>'20 Spieler'!$W$13</f>
        <v> </v>
      </c>
      <c r="W47" s="30" t="str">
        <f>'20 Spieler'!$AE$12</f>
        <v> </v>
      </c>
      <c r="X47" s="73" t="str">
        <f t="shared" si="27"/>
        <v> </v>
      </c>
      <c r="Y47" s="71">
        <f t="shared" si="28"/>
      </c>
      <c r="Z47" s="60" t="str">
        <f>IF('Tabelle 20'!$C$5=C47,'Tabelle 20'!$R$5,"")&amp;IF('Tabelle 20'!$C$6=C47,'Tabelle 20'!$R$6,"")&amp;IF('Tabelle 20'!$C$7=C47,'Tabelle 20'!$R$7,"")&amp;IF('Tabelle 20'!$C$8=C47,'Tabelle 20'!$R$8,"")&amp;IF('Tabelle 20'!$C$9=C47,'Tabelle 20'!$R$9,"")&amp;IF('Tabelle 20'!$C$10=C47,'Tabelle 20'!$R$10,"")&amp;IF('Tabelle 20'!$C$11=C47,'Tabelle 20'!$R$11,"")&amp;IF('Tabelle 20'!$C$12=C47,'Tabelle 20'!$R$12,"")&amp;IF('Tabelle 20'!$C$13=C47,'Tabelle 20'!$R$13,"")&amp;IF('Tabelle 20'!$C$14=C47,'Tabelle 20'!$R$14,"")&amp;IF('Tabelle 20'!$C$15=C47,'Tabelle 20'!$R$15,"")&amp;IF('Tabelle 20'!$C$16=C47,'Tabelle 20'!$R$16,"")&amp;IF('Tabelle 20'!$C$17=C47,'Tabelle 20'!$R$17,"")&amp;IF('Tabelle 20'!$C$18=C47,'Tabelle 20'!$R$18,"")&amp;IF('Tabelle 20'!$C$19=C47,'Tabelle 20'!$R$19,"")&amp;IF('Tabelle 20'!$C$20=C47,'Tabelle 20'!$R$20,"")&amp;IF('Tabelle 20'!$C$21=C47,'Tabelle 20'!$R$21,"")&amp;IF('Tabelle 20'!$C$22=C47,'Tabelle 20'!$R$22,"")&amp;IF('Tabelle 20'!$C$23=C47,'Tabelle 20'!$R$23,"")&amp;IF('Tabelle 20'!$C$24=C47,'Tabelle 20'!$R$24,"")</f>
        <v> </v>
      </c>
      <c r="AA47" s="2"/>
      <c r="AB47" s="2"/>
      <c r="AC47" s="2"/>
      <c r="AD47" s="2"/>
      <c r="AE47" s="2"/>
      <c r="AF47" s="110">
        <f t="shared" si="29"/>
        <v>17</v>
      </c>
      <c r="AG47" s="111" t="str">
        <f t="shared" si="30"/>
        <v>Spieler 17</v>
      </c>
      <c r="AH47" s="112" t="str">
        <f t="shared" si="31"/>
        <v> </v>
      </c>
      <c r="AI47" s="112" t="str">
        <f t="shared" si="32"/>
        <v> </v>
      </c>
      <c r="AJ47" s="112" t="str">
        <f t="shared" si="33"/>
        <v> </v>
      </c>
      <c r="AK47" s="112" t="str">
        <f t="shared" si="34"/>
        <v> </v>
      </c>
      <c r="AL47" s="112" t="str">
        <f t="shared" si="35"/>
        <v> </v>
      </c>
      <c r="AM47" s="112" t="str">
        <f t="shared" si="36"/>
        <v> </v>
      </c>
      <c r="AN47" s="112" t="str">
        <f t="shared" si="37"/>
        <v> </v>
      </c>
      <c r="AO47" s="112" t="str">
        <f t="shared" si="38"/>
        <v> </v>
      </c>
      <c r="AP47" s="112" t="str">
        <f t="shared" si="39"/>
        <v> </v>
      </c>
      <c r="AQ47" s="112" t="str">
        <f t="shared" si="40"/>
        <v> </v>
      </c>
      <c r="AR47" s="112" t="str">
        <f t="shared" si="41"/>
        <v> </v>
      </c>
      <c r="AS47" s="112" t="str">
        <f t="shared" si="42"/>
        <v> </v>
      </c>
      <c r="AT47" s="112" t="str">
        <f t="shared" si="43"/>
        <v> </v>
      </c>
      <c r="AU47" s="112" t="str">
        <f t="shared" si="44"/>
        <v> </v>
      </c>
      <c r="AV47" s="112" t="str">
        <f t="shared" si="45"/>
        <v> </v>
      </c>
      <c r="AW47" s="112" t="str">
        <f t="shared" si="46"/>
        <v> </v>
      </c>
      <c r="AX47" s="112" t="str">
        <f t="shared" si="47"/>
        <v> </v>
      </c>
      <c r="AY47" s="112" t="str">
        <f t="shared" si="48"/>
        <v> </v>
      </c>
      <c r="AZ47" s="112" t="str">
        <f t="shared" si="49"/>
        <v> </v>
      </c>
      <c r="BA47" s="113" t="str">
        <f t="shared" si="50"/>
        <v> </v>
      </c>
      <c r="BB47" s="114" t="str">
        <f t="shared" si="51"/>
        <v> </v>
      </c>
      <c r="BC47" s="115">
        <f t="shared" si="52"/>
      </c>
      <c r="BD47" s="116" t="str">
        <f t="shared" si="53"/>
        <v> </v>
      </c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ht="24.75" customHeight="1">
      <c r="B48" s="10">
        <v>18</v>
      </c>
      <c r="C48" s="26" t="str">
        <f>Eingabe!$G$13</f>
        <v>Spieler 18</v>
      </c>
      <c r="D48" s="56" t="str">
        <f>'20 Spieler'!$O$13</f>
        <v> </v>
      </c>
      <c r="E48" s="56" t="str">
        <f>'20 Spieler'!$I$48</f>
        <v> </v>
      </c>
      <c r="F48" s="56" t="str">
        <f>'20 Spieler'!$G$14</f>
        <v> </v>
      </c>
      <c r="G48" s="56" t="str">
        <f>'20 Spieler'!$AO$33</f>
        <v> </v>
      </c>
      <c r="H48" s="56" t="str">
        <f>'20 Spieler'!$AE$57</f>
        <v> </v>
      </c>
      <c r="I48" s="56" t="str">
        <f>'20 Spieler'!$AG$32</f>
        <v> </v>
      </c>
      <c r="J48" s="56" t="str">
        <f>'20 Spieler'!$W$58</f>
        <v> </v>
      </c>
      <c r="K48" s="56" t="str">
        <f>'20 Spieler'!$Y$31</f>
        <v> </v>
      </c>
      <c r="L48" s="56" t="str">
        <f>'20 Spieler'!$O$59</f>
        <v> </v>
      </c>
      <c r="M48" s="56" t="str">
        <f>'20 Spieler'!$Q$30</f>
        <v> </v>
      </c>
      <c r="N48" s="56" t="str">
        <f>'20 Spieler'!$G$60</f>
        <v> </v>
      </c>
      <c r="O48" s="56" t="str">
        <f>'20 Spieler'!$I$29</f>
        <v> </v>
      </c>
      <c r="P48" s="56" t="str">
        <f>'20 Spieler'!$AM$47</f>
        <v> </v>
      </c>
      <c r="Q48" s="56" t="str">
        <f>'20 Spieler'!$AO$14</f>
        <v> </v>
      </c>
      <c r="R48" s="56" t="str">
        <f>'20 Spieler'!$AE$48</f>
        <v> </v>
      </c>
      <c r="S48" s="56" t="str">
        <f>'20 Spieler'!$AG$13</f>
        <v> </v>
      </c>
      <c r="T48" s="56" t="str">
        <f>'20 Spieler'!$W$49</f>
        <v> </v>
      </c>
      <c r="U48" s="66"/>
      <c r="V48" s="56" t="str">
        <f>'20 Spieler'!$Q$49</f>
        <v> </v>
      </c>
      <c r="W48" s="30" t="str">
        <f>'20 Spieler'!$W$12</f>
        <v> </v>
      </c>
      <c r="X48" s="73" t="str">
        <f t="shared" si="27"/>
        <v> </v>
      </c>
      <c r="Y48" s="71">
        <f t="shared" si="28"/>
      </c>
      <c r="Z48" s="60" t="str">
        <f>IF('Tabelle 20'!$C$5=C48,'Tabelle 20'!$R$5,"")&amp;IF('Tabelle 20'!$C$6=C48,'Tabelle 20'!$R$6,"")&amp;IF('Tabelle 20'!$C$7=C48,'Tabelle 20'!$R$7,"")&amp;IF('Tabelle 20'!$C$8=C48,'Tabelle 20'!$R$8,"")&amp;IF('Tabelle 20'!$C$9=C48,'Tabelle 20'!$R$9,"")&amp;IF('Tabelle 20'!$C$10=C48,'Tabelle 20'!$R$10,"")&amp;IF('Tabelle 20'!$C$11=C48,'Tabelle 20'!$R$11,"")&amp;IF('Tabelle 20'!$C$12=C48,'Tabelle 20'!$R$12,"")&amp;IF('Tabelle 20'!$C$13=C48,'Tabelle 20'!$R$13,"")&amp;IF('Tabelle 20'!$C$14=C48,'Tabelle 20'!$R$14,"")&amp;IF('Tabelle 20'!$C$15=C48,'Tabelle 20'!$R$15,"")&amp;IF('Tabelle 20'!$C$16=C48,'Tabelle 20'!$R$16,"")&amp;IF('Tabelle 20'!$C$17=C48,'Tabelle 20'!$R$17,"")&amp;IF('Tabelle 20'!$C$18=C48,'Tabelle 20'!$R$18,"")&amp;IF('Tabelle 20'!$C$19=C48,'Tabelle 20'!$R$19,"")&amp;IF('Tabelle 20'!$C$20=C48,'Tabelle 20'!$R$20,"")&amp;IF('Tabelle 20'!$C$21=C48,'Tabelle 20'!$R$21,"")&amp;IF('Tabelle 20'!$C$22=C48,'Tabelle 20'!$R$22,"")&amp;IF('Tabelle 20'!$C$23=C48,'Tabelle 20'!$R$23,"")&amp;IF('Tabelle 20'!$C$24=C48,'Tabelle 20'!$R$24,"")</f>
        <v> </v>
      </c>
      <c r="AA48" s="2"/>
      <c r="AB48" s="2"/>
      <c r="AC48" s="2"/>
      <c r="AD48" s="2"/>
      <c r="AE48" s="2"/>
      <c r="AF48" s="110">
        <f t="shared" si="29"/>
        <v>18</v>
      </c>
      <c r="AG48" s="111" t="str">
        <f t="shared" si="30"/>
        <v>Spieler 18</v>
      </c>
      <c r="AH48" s="112" t="str">
        <f t="shared" si="31"/>
        <v> </v>
      </c>
      <c r="AI48" s="112" t="str">
        <f t="shared" si="32"/>
        <v> </v>
      </c>
      <c r="AJ48" s="112" t="str">
        <f t="shared" si="33"/>
        <v> </v>
      </c>
      <c r="AK48" s="112" t="str">
        <f t="shared" si="34"/>
        <v> </v>
      </c>
      <c r="AL48" s="112" t="str">
        <f t="shared" si="35"/>
        <v> </v>
      </c>
      <c r="AM48" s="112" t="str">
        <f t="shared" si="36"/>
        <v> </v>
      </c>
      <c r="AN48" s="112" t="str">
        <f t="shared" si="37"/>
        <v> </v>
      </c>
      <c r="AO48" s="112" t="str">
        <f t="shared" si="38"/>
        <v> </v>
      </c>
      <c r="AP48" s="112" t="str">
        <f t="shared" si="39"/>
        <v> </v>
      </c>
      <c r="AQ48" s="112" t="str">
        <f t="shared" si="40"/>
        <v> </v>
      </c>
      <c r="AR48" s="112" t="str">
        <f t="shared" si="41"/>
        <v> </v>
      </c>
      <c r="AS48" s="112" t="str">
        <f t="shared" si="42"/>
        <v> </v>
      </c>
      <c r="AT48" s="112" t="str">
        <f t="shared" si="43"/>
        <v> </v>
      </c>
      <c r="AU48" s="112" t="str">
        <f t="shared" si="44"/>
        <v> </v>
      </c>
      <c r="AV48" s="112" t="str">
        <f t="shared" si="45"/>
        <v> </v>
      </c>
      <c r="AW48" s="112" t="str">
        <f t="shared" si="46"/>
        <v> </v>
      </c>
      <c r="AX48" s="112" t="str">
        <f t="shared" si="47"/>
        <v> </v>
      </c>
      <c r="AY48" s="112" t="str">
        <f t="shared" si="48"/>
        <v> </v>
      </c>
      <c r="AZ48" s="112" t="str">
        <f t="shared" si="49"/>
        <v> </v>
      </c>
      <c r="BA48" s="113" t="str">
        <f t="shared" si="50"/>
        <v> </v>
      </c>
      <c r="BB48" s="114" t="str">
        <f t="shared" si="51"/>
        <v> </v>
      </c>
      <c r="BC48" s="115">
        <f t="shared" si="52"/>
      </c>
      <c r="BD48" s="116" t="str">
        <f t="shared" si="53"/>
        <v> </v>
      </c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2:83" ht="24.75" customHeight="1">
      <c r="B49" s="10">
        <v>19</v>
      </c>
      <c r="C49" s="26" t="str">
        <f>Eingabe!$G$14</f>
        <v>Spieler 19</v>
      </c>
      <c r="D49" s="56" t="str">
        <f>'20 Spieler'!$I$49</f>
        <v> </v>
      </c>
      <c r="E49" s="56" t="str">
        <f>'20 Spieler'!$G$13</f>
        <v> </v>
      </c>
      <c r="F49" s="56" t="str">
        <f>'20 Spieler'!$AO$34</f>
        <v> </v>
      </c>
      <c r="G49" s="56" t="str">
        <f>'20 Spieler'!$AE$56</f>
        <v> </v>
      </c>
      <c r="H49" s="56" t="str">
        <f>'20 Spieler'!$AG$33</f>
        <v> </v>
      </c>
      <c r="I49" s="56" t="str">
        <f>'20 Spieler'!$W$57</f>
        <v> </v>
      </c>
      <c r="J49" s="56" t="str">
        <f>'20 Spieler'!$Y$32</f>
        <v> </v>
      </c>
      <c r="K49" s="56" t="str">
        <f>'20 Spieler'!$O$58</f>
        <v> </v>
      </c>
      <c r="L49" s="56" t="str">
        <f>'20 Spieler'!$Q$31</f>
        <v> </v>
      </c>
      <c r="M49" s="56" t="str">
        <f>'20 Spieler'!$G$59</f>
        <v> </v>
      </c>
      <c r="N49" s="56" t="str">
        <f>'20 Spieler'!$I$30</f>
        <v> </v>
      </c>
      <c r="O49" s="56" t="str">
        <f>'20 Spieler'!$AM$46</f>
        <v> </v>
      </c>
      <c r="P49" s="56" t="str">
        <f>'20 Spieler'!$AO$15</f>
        <v> </v>
      </c>
      <c r="Q49" s="56" t="str">
        <f>'20 Spieler'!$AE$47</f>
        <v> </v>
      </c>
      <c r="R49" s="56" t="str">
        <f>'20 Spieler'!$AG$14</f>
        <v> </v>
      </c>
      <c r="S49" s="56" t="str">
        <f>'20 Spieler'!$W$48</f>
        <v> </v>
      </c>
      <c r="T49" s="56" t="str">
        <f>'20 Spieler'!$Y$13</f>
        <v> </v>
      </c>
      <c r="U49" s="56" t="str">
        <f>'20 Spieler'!$O$49</f>
        <v> </v>
      </c>
      <c r="V49" s="66"/>
      <c r="W49" s="30" t="str">
        <f>'20 Spieler'!$O$12</f>
        <v> </v>
      </c>
      <c r="X49" s="73" t="str">
        <f t="shared" si="27"/>
        <v> </v>
      </c>
      <c r="Y49" s="71">
        <f t="shared" si="28"/>
      </c>
      <c r="Z49" s="60" t="str">
        <f>IF('Tabelle 20'!$C$5=C49,'Tabelle 20'!$R$5,"")&amp;IF('Tabelle 20'!$C$6=C49,'Tabelle 20'!$R$6,"")&amp;IF('Tabelle 20'!$C$7=C49,'Tabelle 20'!$R$7,"")&amp;IF('Tabelle 20'!$C$8=C49,'Tabelle 20'!$R$8,"")&amp;IF('Tabelle 20'!$C$9=C49,'Tabelle 20'!$R$9,"")&amp;IF('Tabelle 20'!$C$10=C49,'Tabelle 20'!$R$10,"")&amp;IF('Tabelle 20'!$C$11=C49,'Tabelle 20'!$R$11,"")&amp;IF('Tabelle 20'!$C$12=C49,'Tabelle 20'!$R$12,"")&amp;IF('Tabelle 20'!$C$13=C49,'Tabelle 20'!$R$13,"")&amp;IF('Tabelle 20'!$C$14=C49,'Tabelle 20'!$R$14,"")&amp;IF('Tabelle 20'!$C$15=C49,'Tabelle 20'!$R$15,"")&amp;IF('Tabelle 20'!$C$16=C49,'Tabelle 20'!$R$16,"")&amp;IF('Tabelle 20'!$C$17=C49,'Tabelle 20'!$R$17,"")&amp;IF('Tabelle 20'!$C$18=C49,'Tabelle 20'!$R$18,"")&amp;IF('Tabelle 20'!$C$19=C49,'Tabelle 20'!$R$19,"")&amp;IF('Tabelle 20'!$C$20=C49,'Tabelle 20'!$R$20,"")&amp;IF('Tabelle 20'!$C$21=C49,'Tabelle 20'!$R$21,"")&amp;IF('Tabelle 20'!$C$22=C49,'Tabelle 20'!$R$22,"")&amp;IF('Tabelle 20'!$C$23=C49,'Tabelle 20'!$R$23,"")&amp;IF('Tabelle 20'!$C$24=C49,'Tabelle 20'!$R$24,"")</f>
        <v> </v>
      </c>
      <c r="AA49" s="2"/>
      <c r="AB49" s="2"/>
      <c r="AC49" s="2"/>
      <c r="AD49" s="2"/>
      <c r="AE49" s="2"/>
      <c r="AF49" s="110">
        <f t="shared" si="29"/>
        <v>19</v>
      </c>
      <c r="AG49" s="111" t="str">
        <f t="shared" si="30"/>
        <v>Spieler 19</v>
      </c>
      <c r="AH49" s="112" t="str">
        <f t="shared" si="31"/>
        <v> </v>
      </c>
      <c r="AI49" s="112" t="str">
        <f t="shared" si="32"/>
        <v> </v>
      </c>
      <c r="AJ49" s="112" t="str">
        <f t="shared" si="33"/>
        <v> </v>
      </c>
      <c r="AK49" s="112" t="str">
        <f t="shared" si="34"/>
        <v> </v>
      </c>
      <c r="AL49" s="112" t="str">
        <f t="shared" si="35"/>
        <v> </v>
      </c>
      <c r="AM49" s="112" t="str">
        <f t="shared" si="36"/>
        <v> </v>
      </c>
      <c r="AN49" s="112" t="str">
        <f t="shared" si="37"/>
        <v> </v>
      </c>
      <c r="AO49" s="112" t="str">
        <f t="shared" si="38"/>
        <v> </v>
      </c>
      <c r="AP49" s="112" t="str">
        <f t="shared" si="39"/>
        <v> </v>
      </c>
      <c r="AQ49" s="112" t="str">
        <f t="shared" si="40"/>
        <v> </v>
      </c>
      <c r="AR49" s="112" t="str">
        <f t="shared" si="41"/>
        <v> </v>
      </c>
      <c r="AS49" s="112" t="str">
        <f t="shared" si="42"/>
        <v> </v>
      </c>
      <c r="AT49" s="112" t="str">
        <f t="shared" si="43"/>
        <v> </v>
      </c>
      <c r="AU49" s="112" t="str">
        <f t="shared" si="44"/>
        <v> </v>
      </c>
      <c r="AV49" s="112" t="str">
        <f t="shared" si="45"/>
        <v> </v>
      </c>
      <c r="AW49" s="112" t="str">
        <f t="shared" si="46"/>
        <v> </v>
      </c>
      <c r="AX49" s="112" t="str">
        <f t="shared" si="47"/>
        <v> </v>
      </c>
      <c r="AY49" s="112" t="str">
        <f t="shared" si="48"/>
        <v> </v>
      </c>
      <c r="AZ49" s="112" t="str">
        <f t="shared" si="49"/>
        <v> </v>
      </c>
      <c r="BA49" s="113" t="str">
        <f t="shared" si="50"/>
        <v> </v>
      </c>
      <c r="BB49" s="114" t="str">
        <f t="shared" si="51"/>
        <v> </v>
      </c>
      <c r="BC49" s="115">
        <f t="shared" si="52"/>
      </c>
      <c r="BD49" s="116" t="str">
        <f t="shared" si="53"/>
        <v> </v>
      </c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2:83" ht="24.75" customHeight="1" thickBot="1">
      <c r="B50" s="25">
        <v>20</v>
      </c>
      <c r="C50" s="27" t="str">
        <f>Eingabe!$G$15</f>
        <v>Spieler 20 / spielfrei</v>
      </c>
      <c r="D50" s="57" t="str">
        <f>'20 Spieler'!$I$12</f>
        <v> </v>
      </c>
      <c r="E50" s="57" t="str">
        <f>'20 Spieler'!$AG$54</f>
        <v> </v>
      </c>
      <c r="F50" s="57" t="str">
        <f>'20 Spieler'!$Y$54</f>
        <v> </v>
      </c>
      <c r="G50" s="57" t="str">
        <f>'20 Spieler'!$Q$54</f>
        <v> </v>
      </c>
      <c r="H50" s="57" t="str">
        <f>'20 Spieler'!$I$54</f>
        <v> </v>
      </c>
      <c r="I50" s="57" t="str">
        <f>'20 Spieler'!$AO$40</f>
        <v> </v>
      </c>
      <c r="J50" s="57" t="str">
        <f>'20 Spieler'!$AG$40</f>
        <v> </v>
      </c>
      <c r="K50" s="57" t="str">
        <f>'20 Spieler'!$Y$40</f>
        <v> </v>
      </c>
      <c r="L50" s="57" t="str">
        <f>'20 Spieler'!$Q$40</f>
        <v> </v>
      </c>
      <c r="M50" s="57" t="str">
        <f>'20 Spieler'!$I$40</f>
        <v> </v>
      </c>
      <c r="N50" s="57" t="str">
        <f>'20 Spieler'!$AO$26</f>
        <v> </v>
      </c>
      <c r="O50" s="57" t="str">
        <f>'20 Spieler'!$AG$26</f>
        <v> </v>
      </c>
      <c r="P50" s="57" t="str">
        <f>'20 Spieler'!$Y$26</f>
        <v> </v>
      </c>
      <c r="Q50" s="57" t="str">
        <f>'20 Spieler'!$Q$26</f>
        <v> </v>
      </c>
      <c r="R50" s="57" t="str">
        <f>'20 Spieler'!$I$26</f>
        <v> </v>
      </c>
      <c r="S50" s="57" t="str">
        <f>'20 Spieler'!$AO$12</f>
        <v> </v>
      </c>
      <c r="T50" s="57" t="str">
        <f>'20 Spieler'!$AG$12</f>
        <v> </v>
      </c>
      <c r="U50" s="57" t="str">
        <f>'20 Spieler'!$Y$12</f>
        <v> </v>
      </c>
      <c r="V50" s="57" t="str">
        <f>'20 Spieler'!$Q$12</f>
        <v> </v>
      </c>
      <c r="W50" s="67"/>
      <c r="X50" s="74" t="str">
        <f>IF($C$50="spielfrei",-0.001,IF(COUNT($D$50,$E$49,$F$48,$G$47,$H$46,$I$45,$J$44,$K$43,$L$42,$M$41,$N$40,$O$39,$P$38,$Q$37,$R$36,$S$35,$T$34,$U$33,$V$32,$W$31)&gt;0,SUM(D50:W50)," "))</f>
        <v> </v>
      </c>
      <c r="Y50" s="72">
        <f t="shared" si="28"/>
      </c>
      <c r="Z50" s="61" t="str">
        <f>IF('Tabelle 20'!$C$5=C50,'Tabelle 20'!$R$5,"")&amp;IF('Tabelle 20'!$C$6=C50,'Tabelle 20'!$R$6,"")&amp;IF('Tabelle 20'!$C$7=C50,'Tabelle 20'!$R$7,"")&amp;IF('Tabelle 20'!$C$8=C50,'Tabelle 20'!$R$8,"")&amp;IF('Tabelle 20'!$C$9=C50,'Tabelle 20'!$R$9,"")&amp;IF('Tabelle 20'!$C$10=C50,'Tabelle 20'!$R$10,"")&amp;IF('Tabelle 20'!$C$11=C50,'Tabelle 20'!$R$11,"")&amp;IF('Tabelle 20'!$C$12=C50,'Tabelle 20'!$R$12,"")&amp;IF('Tabelle 20'!$C$13=C50,'Tabelle 20'!$R$13,"")&amp;IF('Tabelle 20'!$C$14=C50,'Tabelle 20'!$R$14,"")&amp;IF('Tabelle 20'!$C$15=C50,'Tabelle 20'!$R$15,"")&amp;IF('Tabelle 20'!$C$16=C50,'Tabelle 20'!$R$16,"")&amp;IF('Tabelle 20'!$C$17=C50,'Tabelle 20'!$R$17,"")&amp;IF('Tabelle 20'!$C$18=C50,'Tabelle 20'!$R$18,"")&amp;IF('Tabelle 20'!$C$19=C50,'Tabelle 20'!$R$19,"")&amp;IF('Tabelle 20'!$C$20=C50,'Tabelle 20'!$R$20,"")&amp;IF('Tabelle 20'!$C$21=C50,'Tabelle 20'!$R$21,"")&amp;IF('Tabelle 20'!$C$22=C50,'Tabelle 20'!$R$22,"")&amp;IF('Tabelle 20'!$C$23=C50,'Tabelle 20'!$R$23,"")&amp;IF('Tabelle 20'!$C$24=C50,'Tabelle 20'!$R$24,"")</f>
        <v> </v>
      </c>
      <c r="AA50" s="2"/>
      <c r="AB50" s="2"/>
      <c r="AC50" s="2"/>
      <c r="AD50" s="2"/>
      <c r="AE50" s="2"/>
      <c r="AF50" s="117">
        <f t="shared" si="29"/>
        <v>20</v>
      </c>
      <c r="AG50" s="118" t="str">
        <f t="shared" si="30"/>
        <v>Spieler 20 / spielfrei</v>
      </c>
      <c r="AH50" s="119" t="str">
        <f t="shared" si="31"/>
        <v> </v>
      </c>
      <c r="AI50" s="119" t="str">
        <f t="shared" si="32"/>
        <v> </v>
      </c>
      <c r="AJ50" s="119" t="str">
        <f t="shared" si="33"/>
        <v> </v>
      </c>
      <c r="AK50" s="119" t="str">
        <f t="shared" si="34"/>
        <v> </v>
      </c>
      <c r="AL50" s="119" t="str">
        <f t="shared" si="35"/>
        <v> </v>
      </c>
      <c r="AM50" s="119" t="str">
        <f t="shared" si="36"/>
        <v> </v>
      </c>
      <c r="AN50" s="119" t="str">
        <f t="shared" si="37"/>
        <v> </v>
      </c>
      <c r="AO50" s="119" t="str">
        <f t="shared" si="38"/>
        <v> </v>
      </c>
      <c r="AP50" s="119" t="str">
        <f t="shared" si="39"/>
        <v> </v>
      </c>
      <c r="AQ50" s="119" t="str">
        <f t="shared" si="40"/>
        <v> </v>
      </c>
      <c r="AR50" s="119" t="str">
        <f t="shared" si="41"/>
        <v> </v>
      </c>
      <c r="AS50" s="119" t="str">
        <f t="shared" si="42"/>
        <v> </v>
      </c>
      <c r="AT50" s="119" t="str">
        <f t="shared" si="43"/>
        <v> </v>
      </c>
      <c r="AU50" s="119" t="str">
        <f t="shared" si="44"/>
        <v> </v>
      </c>
      <c r="AV50" s="119" t="str">
        <f t="shared" si="45"/>
        <v> </v>
      </c>
      <c r="AW50" s="119" t="str">
        <f t="shared" si="46"/>
        <v> </v>
      </c>
      <c r="AX50" s="119" t="str">
        <f t="shared" si="47"/>
        <v> </v>
      </c>
      <c r="AY50" s="119" t="str">
        <f t="shared" si="48"/>
        <v> </v>
      </c>
      <c r="AZ50" s="119" t="str">
        <f t="shared" si="49"/>
        <v> </v>
      </c>
      <c r="BA50" s="120" t="str">
        <f t="shared" si="50"/>
        <v> </v>
      </c>
      <c r="BB50" s="121" t="str">
        <f t="shared" si="51"/>
        <v> </v>
      </c>
      <c r="BC50" s="122">
        <f t="shared" si="52"/>
      </c>
      <c r="BD50" s="123" t="str">
        <f t="shared" si="53"/>
        <v> </v>
      </c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33:55" ht="12.75"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4"/>
      <c r="AX51" s="4"/>
      <c r="AY51" s="4"/>
      <c r="AZ51" s="4"/>
      <c r="BA51" s="4"/>
      <c r="BB51" s="2"/>
      <c r="BC51" s="2"/>
    </row>
    <row r="52" spans="33:55" ht="12.75"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34:55" ht="12.75">
      <c r="AH53" s="1" t="str">
        <f>IF(AH54=1,"AH","")&amp;IF(AH54=2,"AI","")&amp;IF(AH54=3,"AJ","")&amp;IF(AH54=4,"AK","")&amp;IF(AH54=5,"AL","")&amp;IF(AH54=6,"AM","")&amp;IF(AH54=7,"AN","")&amp;IF(AH54=8,"AO","")&amp;IF(AH54=9,"AP","")&amp;IF(AH54=10,"AQ","")&amp;IF(AH54=11,"AR","")&amp;IF(AH54=12,"AS","")&amp;IF(AH54=13,"AT","")&amp;IF(AH54=14,"AU","")&amp;IF(AH54=15,"AV","")&amp;IF(AH54=16,"AW","")&amp;IF(AH54=17,"AX","")&amp;IF(AH54=18,"AY","")&amp;IF(AH54=19,"AZ","")&amp;IF(AH54=20,"BA","")</f>
        <v>AH</v>
      </c>
      <c r="AI53" s="1" t="str">
        <f aca="true" t="shared" si="54" ref="AI53:BA53">IF(AI54=1,"AH","")&amp;IF(AI54=2,"AI","")&amp;IF(AI54=3,"AJ","")&amp;IF(AI54=4,"AK","")&amp;IF(AI54=5,"AL","")&amp;IF(AI54=6,"AM","")&amp;IF(AI54=7,"AN","")&amp;IF(AI54=8,"AO","")&amp;IF(AI54=9,"AP","")&amp;IF(AI54=10,"AQ","")&amp;IF(AI54=11,"AR","")&amp;IF(AI54=12,"AS","")&amp;IF(AI54=13,"AT","")&amp;IF(AI54=14,"AU","")&amp;IF(AI54=15,"AV","")&amp;IF(AI54=16,"AW","")&amp;IF(AI54=17,"AX","")&amp;IF(AI54=18,"AY","")&amp;IF(AI54=19,"AZ","")&amp;IF(AI54=20,"BA","")</f>
        <v>AI</v>
      </c>
      <c r="AJ53" s="1" t="str">
        <f t="shared" si="54"/>
        <v>AJ</v>
      </c>
      <c r="AK53" s="1" t="str">
        <f t="shared" si="54"/>
        <v>AK</v>
      </c>
      <c r="AL53" s="1" t="str">
        <f t="shared" si="54"/>
        <v>AL</v>
      </c>
      <c r="AM53" s="1" t="str">
        <f t="shared" si="54"/>
        <v>AM</v>
      </c>
      <c r="AN53" s="1" t="str">
        <f t="shared" si="54"/>
        <v>AN</v>
      </c>
      <c r="AO53" s="1" t="str">
        <f t="shared" si="54"/>
        <v>AO</v>
      </c>
      <c r="AP53" s="1" t="str">
        <f t="shared" si="54"/>
        <v>AP</v>
      </c>
      <c r="AQ53" s="1" t="str">
        <f t="shared" si="54"/>
        <v>AQ</v>
      </c>
      <c r="AR53" s="1" t="str">
        <f t="shared" si="54"/>
        <v>AR</v>
      </c>
      <c r="AS53" s="1" t="str">
        <f t="shared" si="54"/>
        <v>AS</v>
      </c>
      <c r="AT53" s="1" t="str">
        <f t="shared" si="54"/>
        <v>AT</v>
      </c>
      <c r="AU53" s="1" t="str">
        <f t="shared" si="54"/>
        <v>AU</v>
      </c>
      <c r="AV53" s="1" t="str">
        <f t="shared" si="54"/>
        <v>AV</v>
      </c>
      <c r="AW53" s="1" t="str">
        <f t="shared" si="54"/>
        <v>AW</v>
      </c>
      <c r="AX53" s="1" t="str">
        <f t="shared" si="54"/>
        <v>AX</v>
      </c>
      <c r="AY53" s="1" t="str">
        <f t="shared" si="54"/>
        <v>AY</v>
      </c>
      <c r="AZ53" s="1" t="str">
        <f t="shared" si="54"/>
        <v>AZ</v>
      </c>
      <c r="BA53" s="1" t="str">
        <f t="shared" si="54"/>
        <v>BA</v>
      </c>
      <c r="BB53" s="2"/>
      <c r="BC53" s="2"/>
    </row>
    <row r="54" spans="34:55" ht="12.75">
      <c r="AH54" s="1">
        <f>$AF$31</f>
        <v>1</v>
      </c>
      <c r="AI54" s="1">
        <f>$AF$32</f>
        <v>2</v>
      </c>
      <c r="AJ54" s="1">
        <f>$AF$33</f>
        <v>3</v>
      </c>
      <c r="AK54" s="1">
        <f>$AF$34</f>
        <v>4</v>
      </c>
      <c r="AL54" s="1">
        <f>$AF$35</f>
        <v>5</v>
      </c>
      <c r="AM54" s="1">
        <f>$AF$36</f>
        <v>6</v>
      </c>
      <c r="AN54" s="1">
        <f>$AF$37</f>
        <v>7</v>
      </c>
      <c r="AO54" s="1">
        <f>$AF$38</f>
        <v>8</v>
      </c>
      <c r="AP54" s="1">
        <f>$AF$39</f>
        <v>9</v>
      </c>
      <c r="AQ54" s="1">
        <f>$AF$40</f>
        <v>10</v>
      </c>
      <c r="AR54" s="1">
        <f>$AF$41</f>
        <v>11</v>
      </c>
      <c r="AS54" s="1">
        <f>$AF$42</f>
        <v>12</v>
      </c>
      <c r="AT54" s="1">
        <f>$AF$43</f>
        <v>13</v>
      </c>
      <c r="AU54" s="1">
        <f>$AF$44</f>
        <v>14</v>
      </c>
      <c r="AV54" s="1">
        <f>$AF$45</f>
        <v>15</v>
      </c>
      <c r="AW54" s="1">
        <f>$AF$46</f>
        <v>16</v>
      </c>
      <c r="AX54" s="1">
        <f>$AF$47</f>
        <v>17</v>
      </c>
      <c r="AY54" s="1">
        <f>$AF$48</f>
        <v>18</v>
      </c>
      <c r="AZ54" s="1">
        <f>$AF$49</f>
        <v>19</v>
      </c>
      <c r="BA54" s="1">
        <f>$AF$50</f>
        <v>20</v>
      </c>
      <c r="BB54" s="2"/>
      <c r="BC54" s="2"/>
    </row>
    <row r="55" spans="33:55" ht="12.75">
      <c r="AG55">
        <v>31</v>
      </c>
      <c r="AH55" t="str">
        <f ca="1" t="shared" si="55" ref="AH55:AH71">INDIRECT(AH$53&amp;$AG55)</f>
        <v> </v>
      </c>
      <c r="AI55" t="str">
        <f ca="1" t="shared" si="56" ref="AI55:AX70">INDIRECT(AI$53&amp;$AG55)</f>
        <v> </v>
      </c>
      <c r="AJ55" t="str">
        <f ca="1" t="shared" si="56"/>
        <v> </v>
      </c>
      <c r="AK55" t="str">
        <f ca="1" t="shared" si="56"/>
        <v> </v>
      </c>
      <c r="AL55" t="str">
        <f ca="1" t="shared" si="56"/>
        <v> </v>
      </c>
      <c r="AM55" t="str">
        <f ca="1" t="shared" si="56"/>
        <v> </v>
      </c>
      <c r="AN55" t="str">
        <f ca="1" t="shared" si="56"/>
        <v> </v>
      </c>
      <c r="AO55" t="str">
        <f ca="1" t="shared" si="56"/>
        <v> </v>
      </c>
      <c r="AP55" t="str">
        <f ca="1" t="shared" si="56"/>
        <v> </v>
      </c>
      <c r="AQ55" t="str">
        <f ca="1" t="shared" si="56"/>
        <v> </v>
      </c>
      <c r="AR55" t="str">
        <f ca="1" t="shared" si="56"/>
        <v> </v>
      </c>
      <c r="AS55" t="str">
        <f ca="1" t="shared" si="56"/>
        <v> </v>
      </c>
      <c r="AT55" t="str">
        <f ca="1" t="shared" si="56"/>
        <v> </v>
      </c>
      <c r="AU55" t="str">
        <f ca="1" t="shared" si="56"/>
        <v> </v>
      </c>
      <c r="AV55" t="str">
        <f ca="1" t="shared" si="56"/>
        <v> </v>
      </c>
      <c r="AW55" t="str">
        <f ca="1" t="shared" si="56"/>
        <v> </v>
      </c>
      <c r="AX55" t="str">
        <f ca="1" t="shared" si="56"/>
        <v> </v>
      </c>
      <c r="AY55" t="str">
        <f ca="1" t="shared" si="57" ref="AY55:BA74">INDIRECT(AY$53&amp;$AG55)</f>
        <v> </v>
      </c>
      <c r="AZ55" t="str">
        <f ca="1" t="shared" si="57"/>
        <v> </v>
      </c>
      <c r="BA55" t="str">
        <f ca="1" t="shared" si="57"/>
        <v> </v>
      </c>
      <c r="BB55" s="2"/>
      <c r="BC55" s="2"/>
    </row>
    <row r="56" spans="33:55" ht="12.75">
      <c r="AG56">
        <v>32</v>
      </c>
      <c r="AH56" t="str">
        <f ca="1" t="shared" si="55"/>
        <v> </v>
      </c>
      <c r="AI56" t="str">
        <f ca="1" t="shared" si="56"/>
        <v> </v>
      </c>
      <c r="AJ56" t="str">
        <f ca="1" t="shared" si="56"/>
        <v> </v>
      </c>
      <c r="AK56" t="str">
        <f ca="1" t="shared" si="56"/>
        <v> </v>
      </c>
      <c r="AL56" t="str">
        <f ca="1" t="shared" si="56"/>
        <v> </v>
      </c>
      <c r="AM56" t="str">
        <f ca="1" t="shared" si="56"/>
        <v> </v>
      </c>
      <c r="AN56" t="str">
        <f ca="1" t="shared" si="56"/>
        <v> </v>
      </c>
      <c r="AO56" t="str">
        <f ca="1" t="shared" si="56"/>
        <v> </v>
      </c>
      <c r="AP56" t="str">
        <f ca="1" t="shared" si="56"/>
        <v> </v>
      </c>
      <c r="AQ56" t="str">
        <f ca="1" t="shared" si="56"/>
        <v> </v>
      </c>
      <c r="AR56" t="str">
        <f ca="1" t="shared" si="56"/>
        <v> </v>
      </c>
      <c r="AS56" t="str">
        <f ca="1" t="shared" si="56"/>
        <v> </v>
      </c>
      <c r="AT56" t="str">
        <f ca="1" t="shared" si="56"/>
        <v> </v>
      </c>
      <c r="AU56" t="str">
        <f ca="1" t="shared" si="56"/>
        <v> </v>
      </c>
      <c r="AV56" t="str">
        <f ca="1" t="shared" si="56"/>
        <v> </v>
      </c>
      <c r="AW56" t="str">
        <f ca="1" t="shared" si="56"/>
        <v> </v>
      </c>
      <c r="AX56" t="str">
        <f ca="1" t="shared" si="56"/>
        <v> </v>
      </c>
      <c r="AY56" t="str">
        <f ca="1" t="shared" si="57"/>
        <v> </v>
      </c>
      <c r="AZ56" t="str">
        <f ca="1" t="shared" si="57"/>
        <v> </v>
      </c>
      <c r="BA56" t="str">
        <f ca="1" t="shared" si="57"/>
        <v> </v>
      </c>
      <c r="BB56" s="2"/>
      <c r="BC56" s="2"/>
    </row>
    <row r="57" spans="33:55" ht="12.75">
      <c r="AG57">
        <v>33</v>
      </c>
      <c r="AH57" t="str">
        <f ca="1" t="shared" si="55"/>
        <v> </v>
      </c>
      <c r="AI57" t="str">
        <f ca="1" t="shared" si="56"/>
        <v> </v>
      </c>
      <c r="AJ57" t="str">
        <f ca="1" t="shared" si="56"/>
        <v> </v>
      </c>
      <c r="AK57" t="str">
        <f ca="1" t="shared" si="56"/>
        <v> </v>
      </c>
      <c r="AL57" t="str">
        <f ca="1" t="shared" si="56"/>
        <v> </v>
      </c>
      <c r="AM57" t="str">
        <f ca="1" t="shared" si="56"/>
        <v> </v>
      </c>
      <c r="AN57" t="str">
        <f ca="1" t="shared" si="56"/>
        <v> </v>
      </c>
      <c r="AO57" t="str">
        <f ca="1" t="shared" si="56"/>
        <v> </v>
      </c>
      <c r="AP57" t="str">
        <f ca="1" t="shared" si="56"/>
        <v> </v>
      </c>
      <c r="AQ57" t="str">
        <f ca="1" t="shared" si="56"/>
        <v> </v>
      </c>
      <c r="AR57" t="str">
        <f ca="1" t="shared" si="56"/>
        <v> </v>
      </c>
      <c r="AS57" t="str">
        <f ca="1" t="shared" si="56"/>
        <v> </v>
      </c>
      <c r="AT57" t="str">
        <f ca="1" t="shared" si="56"/>
        <v> </v>
      </c>
      <c r="AU57" t="str">
        <f ca="1" t="shared" si="56"/>
        <v> </v>
      </c>
      <c r="AV57" t="str">
        <f ca="1" t="shared" si="56"/>
        <v> </v>
      </c>
      <c r="AW57" t="str">
        <f ca="1" t="shared" si="56"/>
        <v> </v>
      </c>
      <c r="AX57" t="str">
        <f ca="1" t="shared" si="56"/>
        <v> </v>
      </c>
      <c r="AY57" t="str">
        <f ca="1" t="shared" si="57"/>
        <v> </v>
      </c>
      <c r="AZ57" t="str">
        <f ca="1" t="shared" si="57"/>
        <v> </v>
      </c>
      <c r="BA57" t="str">
        <f ca="1" t="shared" si="57"/>
        <v> </v>
      </c>
      <c r="BB57" s="2"/>
      <c r="BC57" s="2"/>
    </row>
    <row r="58" spans="33:55" ht="12.75">
      <c r="AG58">
        <v>34</v>
      </c>
      <c r="AH58" t="str">
        <f ca="1" t="shared" si="55"/>
        <v> </v>
      </c>
      <c r="AI58" t="str">
        <f ca="1" t="shared" si="56"/>
        <v> </v>
      </c>
      <c r="AJ58" t="str">
        <f ca="1" t="shared" si="56"/>
        <v> </v>
      </c>
      <c r="AK58" t="str">
        <f ca="1" t="shared" si="56"/>
        <v> </v>
      </c>
      <c r="AL58" t="str">
        <f ca="1" t="shared" si="56"/>
        <v> </v>
      </c>
      <c r="AM58" t="str">
        <f ca="1" t="shared" si="56"/>
        <v> </v>
      </c>
      <c r="AN58" t="str">
        <f ca="1" t="shared" si="56"/>
        <v> </v>
      </c>
      <c r="AO58" t="str">
        <f ca="1" t="shared" si="56"/>
        <v> </v>
      </c>
      <c r="AP58" t="str">
        <f ca="1" t="shared" si="56"/>
        <v> </v>
      </c>
      <c r="AQ58" t="str">
        <f ca="1" t="shared" si="56"/>
        <v> </v>
      </c>
      <c r="AR58" t="str">
        <f ca="1" t="shared" si="56"/>
        <v> </v>
      </c>
      <c r="AS58" t="str">
        <f ca="1" t="shared" si="56"/>
        <v> </v>
      </c>
      <c r="AT58" t="str">
        <f ca="1" t="shared" si="56"/>
        <v> </v>
      </c>
      <c r="AU58" t="str">
        <f ca="1" t="shared" si="56"/>
        <v> </v>
      </c>
      <c r="AV58" t="str">
        <f ca="1" t="shared" si="56"/>
        <v> </v>
      </c>
      <c r="AW58" t="str">
        <f ca="1" t="shared" si="56"/>
        <v> </v>
      </c>
      <c r="AX58" t="str">
        <f ca="1" t="shared" si="56"/>
        <v> </v>
      </c>
      <c r="AY58" t="str">
        <f ca="1" t="shared" si="57"/>
        <v> </v>
      </c>
      <c r="AZ58" t="str">
        <f ca="1" t="shared" si="57"/>
        <v> </v>
      </c>
      <c r="BA58" t="str">
        <f ca="1" t="shared" si="57"/>
        <v> </v>
      </c>
      <c r="BB58" s="2"/>
      <c r="BC58" s="2"/>
    </row>
    <row r="59" spans="33:55" ht="12.75">
      <c r="AG59">
        <v>35</v>
      </c>
      <c r="AH59" t="str">
        <f ca="1" t="shared" si="55"/>
        <v> </v>
      </c>
      <c r="AI59" t="str">
        <f ca="1" t="shared" si="56"/>
        <v> </v>
      </c>
      <c r="AJ59" t="str">
        <f ca="1" t="shared" si="56"/>
        <v> </v>
      </c>
      <c r="AK59" t="str">
        <f ca="1" t="shared" si="56"/>
        <v> </v>
      </c>
      <c r="AL59" t="str">
        <f ca="1" t="shared" si="56"/>
        <v> </v>
      </c>
      <c r="AM59" t="str">
        <f ca="1" t="shared" si="56"/>
        <v> </v>
      </c>
      <c r="AN59" t="str">
        <f ca="1" t="shared" si="56"/>
        <v> </v>
      </c>
      <c r="AO59" t="str">
        <f ca="1" t="shared" si="56"/>
        <v> </v>
      </c>
      <c r="AP59" t="str">
        <f ca="1" t="shared" si="56"/>
        <v> </v>
      </c>
      <c r="AQ59" t="str">
        <f ca="1" t="shared" si="56"/>
        <v> </v>
      </c>
      <c r="AR59" t="str">
        <f ca="1" t="shared" si="56"/>
        <v> </v>
      </c>
      <c r="AS59" t="str">
        <f ca="1" t="shared" si="56"/>
        <v> </v>
      </c>
      <c r="AT59" t="str">
        <f ca="1" t="shared" si="56"/>
        <v> </v>
      </c>
      <c r="AU59" t="str">
        <f ca="1" t="shared" si="56"/>
        <v> </v>
      </c>
      <c r="AV59" t="str">
        <f ca="1" t="shared" si="56"/>
        <v> </v>
      </c>
      <c r="AW59" t="str">
        <f ca="1" t="shared" si="56"/>
        <v> </v>
      </c>
      <c r="AX59" t="str">
        <f ca="1" t="shared" si="56"/>
        <v> </v>
      </c>
      <c r="AY59" t="str">
        <f ca="1" t="shared" si="57"/>
        <v> </v>
      </c>
      <c r="AZ59" t="str">
        <f ca="1" t="shared" si="57"/>
        <v> </v>
      </c>
      <c r="BA59" t="str">
        <f ca="1" t="shared" si="57"/>
        <v> </v>
      </c>
      <c r="BB59" s="2"/>
      <c r="BC59" s="2"/>
    </row>
    <row r="60" spans="33:55" ht="12.75">
      <c r="AG60">
        <v>36</v>
      </c>
      <c r="AH60" t="str">
        <f ca="1" t="shared" si="55"/>
        <v> </v>
      </c>
      <c r="AI60" t="str">
        <f ca="1" t="shared" si="56"/>
        <v> </v>
      </c>
      <c r="AJ60" t="str">
        <f ca="1" t="shared" si="56"/>
        <v> </v>
      </c>
      <c r="AK60" t="str">
        <f ca="1" t="shared" si="56"/>
        <v> </v>
      </c>
      <c r="AL60" t="str">
        <f ca="1" t="shared" si="56"/>
        <v> </v>
      </c>
      <c r="AM60" t="str">
        <f ca="1" t="shared" si="56"/>
        <v> </v>
      </c>
      <c r="AN60" t="str">
        <f ca="1" t="shared" si="56"/>
        <v> </v>
      </c>
      <c r="AO60" t="str">
        <f ca="1" t="shared" si="56"/>
        <v> </v>
      </c>
      <c r="AP60" t="str">
        <f ca="1" t="shared" si="56"/>
        <v> </v>
      </c>
      <c r="AQ60" t="str">
        <f ca="1" t="shared" si="56"/>
        <v> </v>
      </c>
      <c r="AR60" t="str">
        <f ca="1" t="shared" si="56"/>
        <v> </v>
      </c>
      <c r="AS60" t="str">
        <f ca="1" t="shared" si="56"/>
        <v> </v>
      </c>
      <c r="AT60" t="str">
        <f ca="1" t="shared" si="56"/>
        <v> </v>
      </c>
      <c r="AU60" t="str">
        <f ca="1" t="shared" si="56"/>
        <v> </v>
      </c>
      <c r="AV60" t="str">
        <f ca="1" t="shared" si="56"/>
        <v> </v>
      </c>
      <c r="AW60" t="str">
        <f ca="1" t="shared" si="56"/>
        <v> </v>
      </c>
      <c r="AX60" t="str">
        <f ca="1" t="shared" si="56"/>
        <v> </v>
      </c>
      <c r="AY60" t="str">
        <f ca="1" t="shared" si="57"/>
        <v> </v>
      </c>
      <c r="AZ60" t="str">
        <f ca="1" t="shared" si="57"/>
        <v> </v>
      </c>
      <c r="BA60" t="str">
        <f ca="1" t="shared" si="57"/>
        <v> </v>
      </c>
      <c r="BB60" s="2"/>
      <c r="BC60" s="2"/>
    </row>
    <row r="61" spans="33:55" ht="12.75">
      <c r="AG61">
        <v>37</v>
      </c>
      <c r="AH61" t="str">
        <f ca="1" t="shared" si="55"/>
        <v> </v>
      </c>
      <c r="AI61" t="str">
        <f ca="1" t="shared" si="56"/>
        <v> </v>
      </c>
      <c r="AJ61" t="str">
        <f ca="1" t="shared" si="56"/>
        <v> </v>
      </c>
      <c r="AK61" t="str">
        <f ca="1" t="shared" si="56"/>
        <v> </v>
      </c>
      <c r="AL61" t="str">
        <f ca="1" t="shared" si="56"/>
        <v> </v>
      </c>
      <c r="AM61" t="str">
        <f ca="1" t="shared" si="56"/>
        <v> </v>
      </c>
      <c r="AN61" t="str">
        <f ca="1" t="shared" si="56"/>
        <v> </v>
      </c>
      <c r="AO61" t="str">
        <f ca="1" t="shared" si="56"/>
        <v> </v>
      </c>
      <c r="AP61" t="str">
        <f ca="1" t="shared" si="56"/>
        <v> </v>
      </c>
      <c r="AQ61" t="str">
        <f ca="1" t="shared" si="56"/>
        <v> </v>
      </c>
      <c r="AR61" t="str">
        <f ca="1" t="shared" si="56"/>
        <v> </v>
      </c>
      <c r="AS61" t="str">
        <f ca="1" t="shared" si="56"/>
        <v> </v>
      </c>
      <c r="AT61" t="str">
        <f ca="1" t="shared" si="56"/>
        <v> </v>
      </c>
      <c r="AU61" t="str">
        <f ca="1" t="shared" si="56"/>
        <v> </v>
      </c>
      <c r="AV61" t="str">
        <f ca="1" t="shared" si="56"/>
        <v> </v>
      </c>
      <c r="AW61" t="str">
        <f ca="1" t="shared" si="56"/>
        <v> </v>
      </c>
      <c r="AX61" t="str">
        <f ca="1" t="shared" si="56"/>
        <v> </v>
      </c>
      <c r="AY61" t="str">
        <f ca="1" t="shared" si="57"/>
        <v> </v>
      </c>
      <c r="AZ61" t="str">
        <f ca="1" t="shared" si="57"/>
        <v> </v>
      </c>
      <c r="BA61" t="str">
        <f ca="1" t="shared" si="57"/>
        <v> </v>
      </c>
      <c r="BB61" s="2"/>
      <c r="BC61" s="2"/>
    </row>
    <row r="62" spans="33:55" ht="12.75">
      <c r="AG62">
        <v>38</v>
      </c>
      <c r="AH62" t="str">
        <f ca="1" t="shared" si="55"/>
        <v> </v>
      </c>
      <c r="AI62" t="str">
        <f ca="1" t="shared" si="56"/>
        <v> </v>
      </c>
      <c r="AJ62" t="str">
        <f ca="1" t="shared" si="56"/>
        <v> </v>
      </c>
      <c r="AK62" t="str">
        <f ca="1" t="shared" si="56"/>
        <v> </v>
      </c>
      <c r="AL62" t="str">
        <f ca="1" t="shared" si="56"/>
        <v> </v>
      </c>
      <c r="AM62" t="str">
        <f ca="1" t="shared" si="56"/>
        <v> </v>
      </c>
      <c r="AN62" t="str">
        <f ca="1" t="shared" si="56"/>
        <v> </v>
      </c>
      <c r="AO62" t="str">
        <f ca="1" t="shared" si="56"/>
        <v> </v>
      </c>
      <c r="AP62" t="str">
        <f ca="1" t="shared" si="56"/>
        <v> </v>
      </c>
      <c r="AQ62" t="str">
        <f ca="1" t="shared" si="56"/>
        <v> </v>
      </c>
      <c r="AR62" t="str">
        <f ca="1" t="shared" si="56"/>
        <v> </v>
      </c>
      <c r="AS62" t="str">
        <f ca="1" t="shared" si="56"/>
        <v> </v>
      </c>
      <c r="AT62" t="str">
        <f ca="1" t="shared" si="56"/>
        <v> </v>
      </c>
      <c r="AU62" t="str">
        <f ca="1" t="shared" si="56"/>
        <v> </v>
      </c>
      <c r="AV62" t="str">
        <f ca="1" t="shared" si="56"/>
        <v> </v>
      </c>
      <c r="AW62" t="str">
        <f ca="1" t="shared" si="56"/>
        <v> </v>
      </c>
      <c r="AX62" t="str">
        <f ca="1" t="shared" si="56"/>
        <v> </v>
      </c>
      <c r="AY62" t="str">
        <f ca="1" t="shared" si="57"/>
        <v> </v>
      </c>
      <c r="AZ62" t="str">
        <f ca="1" t="shared" si="57"/>
        <v> </v>
      </c>
      <c r="BA62" t="str">
        <f ca="1" t="shared" si="57"/>
        <v> </v>
      </c>
      <c r="BB62" s="2"/>
      <c r="BC62" s="2"/>
    </row>
    <row r="63" spans="33:55" ht="12.75">
      <c r="AG63">
        <v>39</v>
      </c>
      <c r="AH63" t="str">
        <f ca="1" t="shared" si="55"/>
        <v> </v>
      </c>
      <c r="AI63" t="str">
        <f ca="1" t="shared" si="56"/>
        <v> </v>
      </c>
      <c r="AJ63" t="str">
        <f ca="1" t="shared" si="56"/>
        <v> </v>
      </c>
      <c r="AK63" t="str">
        <f ca="1" t="shared" si="56"/>
        <v> </v>
      </c>
      <c r="AL63" t="str">
        <f ca="1" t="shared" si="56"/>
        <v> </v>
      </c>
      <c r="AM63" t="str">
        <f ca="1" t="shared" si="56"/>
        <v> </v>
      </c>
      <c r="AN63" t="str">
        <f ca="1" t="shared" si="56"/>
        <v> </v>
      </c>
      <c r="AO63" t="str">
        <f ca="1" t="shared" si="56"/>
        <v> </v>
      </c>
      <c r="AP63" t="str">
        <f ca="1" t="shared" si="56"/>
        <v> </v>
      </c>
      <c r="AQ63" t="str">
        <f ca="1" t="shared" si="56"/>
        <v> </v>
      </c>
      <c r="AR63" t="str">
        <f ca="1" t="shared" si="56"/>
        <v> </v>
      </c>
      <c r="AS63" t="str">
        <f ca="1" t="shared" si="56"/>
        <v> </v>
      </c>
      <c r="AT63" t="str">
        <f ca="1" t="shared" si="56"/>
        <v> </v>
      </c>
      <c r="AU63" t="str">
        <f ca="1" t="shared" si="56"/>
        <v> </v>
      </c>
      <c r="AV63" t="str">
        <f ca="1" t="shared" si="56"/>
        <v> </v>
      </c>
      <c r="AW63" t="str">
        <f ca="1" t="shared" si="56"/>
        <v> </v>
      </c>
      <c r="AX63" t="str">
        <f ca="1" t="shared" si="56"/>
        <v> </v>
      </c>
      <c r="AY63" t="str">
        <f ca="1" t="shared" si="57"/>
        <v> </v>
      </c>
      <c r="AZ63" t="str">
        <f ca="1" t="shared" si="57"/>
        <v> </v>
      </c>
      <c r="BA63" t="str">
        <f ca="1" t="shared" si="57"/>
        <v> </v>
      </c>
      <c r="BB63" s="2"/>
      <c r="BC63" s="2"/>
    </row>
    <row r="64" spans="33:55" ht="12.75">
      <c r="AG64">
        <v>40</v>
      </c>
      <c r="AH64" t="str">
        <f ca="1" t="shared" si="55"/>
        <v> </v>
      </c>
      <c r="AI64" t="str">
        <f ca="1" t="shared" si="56"/>
        <v> </v>
      </c>
      <c r="AJ64" t="str">
        <f ca="1" t="shared" si="56"/>
        <v> </v>
      </c>
      <c r="AK64" t="str">
        <f ca="1" t="shared" si="56"/>
        <v> </v>
      </c>
      <c r="AL64" t="str">
        <f ca="1" t="shared" si="56"/>
        <v> </v>
      </c>
      <c r="AM64" t="str">
        <f ca="1" t="shared" si="56"/>
        <v> </v>
      </c>
      <c r="AN64" t="str">
        <f ca="1" t="shared" si="56"/>
        <v> </v>
      </c>
      <c r="AO64" t="str">
        <f ca="1" t="shared" si="56"/>
        <v> </v>
      </c>
      <c r="AP64" t="str">
        <f ca="1" t="shared" si="56"/>
        <v> </v>
      </c>
      <c r="AQ64" t="str">
        <f ca="1" t="shared" si="56"/>
        <v> </v>
      </c>
      <c r="AR64" t="str">
        <f ca="1" t="shared" si="56"/>
        <v> </v>
      </c>
      <c r="AS64" t="str">
        <f ca="1" t="shared" si="56"/>
        <v> </v>
      </c>
      <c r="AT64" t="str">
        <f ca="1" t="shared" si="56"/>
        <v> </v>
      </c>
      <c r="AU64" t="str">
        <f ca="1" t="shared" si="56"/>
        <v> </v>
      </c>
      <c r="AV64" t="str">
        <f ca="1" t="shared" si="56"/>
        <v> </v>
      </c>
      <c r="AW64" t="str">
        <f ca="1" t="shared" si="56"/>
        <v> </v>
      </c>
      <c r="AX64" t="str">
        <f ca="1" t="shared" si="56"/>
        <v> </v>
      </c>
      <c r="AY64" t="str">
        <f ca="1" t="shared" si="57"/>
        <v> </v>
      </c>
      <c r="AZ64" t="str">
        <f ca="1" t="shared" si="57"/>
        <v> </v>
      </c>
      <c r="BA64" t="str">
        <f ca="1" t="shared" si="57"/>
        <v> </v>
      </c>
      <c r="BB64" s="2"/>
      <c r="BC64" s="2"/>
    </row>
    <row r="65" spans="33:55" ht="12.75">
      <c r="AG65">
        <v>41</v>
      </c>
      <c r="AH65" t="str">
        <f ca="1" t="shared" si="55"/>
        <v> </v>
      </c>
      <c r="AI65" t="str">
        <f ca="1" t="shared" si="56"/>
        <v> </v>
      </c>
      <c r="AJ65" t="str">
        <f ca="1" t="shared" si="56"/>
        <v> </v>
      </c>
      <c r="AK65" t="str">
        <f ca="1" t="shared" si="56"/>
        <v> </v>
      </c>
      <c r="AL65" t="str">
        <f ca="1" t="shared" si="56"/>
        <v> </v>
      </c>
      <c r="AM65" t="str">
        <f ca="1" t="shared" si="56"/>
        <v> </v>
      </c>
      <c r="AN65" t="str">
        <f ca="1" t="shared" si="56"/>
        <v> </v>
      </c>
      <c r="AO65" t="str">
        <f ca="1" t="shared" si="56"/>
        <v> </v>
      </c>
      <c r="AP65" t="str">
        <f ca="1" t="shared" si="56"/>
        <v> </v>
      </c>
      <c r="AQ65" t="str">
        <f ca="1" t="shared" si="56"/>
        <v> </v>
      </c>
      <c r="AR65" t="str">
        <f ca="1" t="shared" si="56"/>
        <v> </v>
      </c>
      <c r="AS65" t="str">
        <f ca="1" t="shared" si="56"/>
        <v> </v>
      </c>
      <c r="AT65" t="str">
        <f ca="1" t="shared" si="56"/>
        <v> </v>
      </c>
      <c r="AU65" t="str">
        <f ca="1" t="shared" si="56"/>
        <v> </v>
      </c>
      <c r="AV65" t="str">
        <f ca="1" t="shared" si="56"/>
        <v> </v>
      </c>
      <c r="AW65" t="str">
        <f ca="1" t="shared" si="56"/>
        <v> </v>
      </c>
      <c r="AX65" t="str">
        <f ca="1" t="shared" si="56"/>
        <v> </v>
      </c>
      <c r="AY65" t="str">
        <f ca="1" t="shared" si="57"/>
        <v> </v>
      </c>
      <c r="AZ65" t="str">
        <f ca="1" t="shared" si="57"/>
        <v> </v>
      </c>
      <c r="BA65" t="str">
        <f ca="1" t="shared" si="57"/>
        <v> </v>
      </c>
      <c r="BB65" s="2"/>
      <c r="BC65" s="2"/>
    </row>
    <row r="66" spans="33:55" ht="12.75">
      <c r="AG66">
        <v>42</v>
      </c>
      <c r="AH66" t="str">
        <f ca="1" t="shared" si="55"/>
        <v> </v>
      </c>
      <c r="AI66" t="str">
        <f ca="1" t="shared" si="56"/>
        <v> </v>
      </c>
      <c r="AJ66" t="str">
        <f ca="1" t="shared" si="56"/>
        <v> </v>
      </c>
      <c r="AK66" t="str">
        <f ca="1" t="shared" si="56"/>
        <v> </v>
      </c>
      <c r="AL66" t="str">
        <f ca="1" t="shared" si="56"/>
        <v> </v>
      </c>
      <c r="AM66" t="str">
        <f ca="1" t="shared" si="56"/>
        <v> </v>
      </c>
      <c r="AN66" t="str">
        <f ca="1" t="shared" si="56"/>
        <v> </v>
      </c>
      <c r="AO66" t="str">
        <f ca="1" t="shared" si="56"/>
        <v> </v>
      </c>
      <c r="AP66" t="str">
        <f ca="1" t="shared" si="56"/>
        <v> </v>
      </c>
      <c r="AQ66" t="str">
        <f ca="1" t="shared" si="56"/>
        <v> </v>
      </c>
      <c r="AR66" t="str">
        <f ca="1" t="shared" si="56"/>
        <v> </v>
      </c>
      <c r="AS66" t="str">
        <f ca="1" t="shared" si="56"/>
        <v> </v>
      </c>
      <c r="AT66" t="str">
        <f ca="1" t="shared" si="56"/>
        <v> </v>
      </c>
      <c r="AU66" t="str">
        <f ca="1" t="shared" si="56"/>
        <v> </v>
      </c>
      <c r="AV66" t="str">
        <f ca="1" t="shared" si="56"/>
        <v> </v>
      </c>
      <c r="AW66" t="str">
        <f ca="1" t="shared" si="56"/>
        <v> </v>
      </c>
      <c r="AX66" t="str">
        <f ca="1" t="shared" si="56"/>
        <v> </v>
      </c>
      <c r="AY66" t="str">
        <f ca="1" t="shared" si="57"/>
        <v> </v>
      </c>
      <c r="AZ66" t="str">
        <f ca="1" t="shared" si="57"/>
        <v> </v>
      </c>
      <c r="BA66" t="str">
        <f ca="1" t="shared" si="57"/>
        <v> </v>
      </c>
      <c r="BB66" s="2"/>
      <c r="BC66" s="2"/>
    </row>
    <row r="67" spans="33:55" ht="12.75">
      <c r="AG67">
        <v>43</v>
      </c>
      <c r="AH67" t="str">
        <f ca="1" t="shared" si="55"/>
        <v> </v>
      </c>
      <c r="AI67" t="str">
        <f ca="1" t="shared" si="56"/>
        <v> </v>
      </c>
      <c r="AJ67" t="str">
        <f ca="1" t="shared" si="56"/>
        <v> </v>
      </c>
      <c r="AK67" t="str">
        <f ca="1" t="shared" si="56"/>
        <v> </v>
      </c>
      <c r="AL67" t="str">
        <f ca="1" t="shared" si="56"/>
        <v> </v>
      </c>
      <c r="AM67" t="str">
        <f ca="1" t="shared" si="56"/>
        <v> </v>
      </c>
      <c r="AN67" t="str">
        <f ca="1" t="shared" si="56"/>
        <v> </v>
      </c>
      <c r="AO67" t="str">
        <f ca="1" t="shared" si="56"/>
        <v> </v>
      </c>
      <c r="AP67" t="str">
        <f ca="1" t="shared" si="56"/>
        <v> </v>
      </c>
      <c r="AQ67" t="str">
        <f ca="1" t="shared" si="56"/>
        <v> </v>
      </c>
      <c r="AR67" t="str">
        <f ca="1" t="shared" si="56"/>
        <v> </v>
      </c>
      <c r="AS67" t="str">
        <f ca="1" t="shared" si="56"/>
        <v> </v>
      </c>
      <c r="AT67" t="str">
        <f ca="1" t="shared" si="56"/>
        <v> </v>
      </c>
      <c r="AU67" t="str">
        <f ca="1" t="shared" si="56"/>
        <v> </v>
      </c>
      <c r="AV67" t="str">
        <f ca="1" t="shared" si="56"/>
        <v> </v>
      </c>
      <c r="AW67" t="str">
        <f ca="1" t="shared" si="56"/>
        <v> </v>
      </c>
      <c r="AX67" t="str">
        <f ca="1" t="shared" si="56"/>
        <v> </v>
      </c>
      <c r="AY67" t="str">
        <f ca="1" t="shared" si="57"/>
        <v> </v>
      </c>
      <c r="AZ67" t="str">
        <f ca="1" t="shared" si="57"/>
        <v> </v>
      </c>
      <c r="BA67" t="str">
        <f ca="1" t="shared" si="57"/>
        <v> </v>
      </c>
      <c r="BB67" s="2"/>
      <c r="BC67" s="2"/>
    </row>
    <row r="68" spans="33:55" ht="12.75">
      <c r="AG68">
        <v>44</v>
      </c>
      <c r="AH68" t="str">
        <f ca="1" t="shared" si="55"/>
        <v> </v>
      </c>
      <c r="AI68" t="str">
        <f ca="1" t="shared" si="56"/>
        <v> </v>
      </c>
      <c r="AJ68" t="str">
        <f ca="1" t="shared" si="56"/>
        <v> </v>
      </c>
      <c r="AK68" t="str">
        <f ca="1" t="shared" si="56"/>
        <v> </v>
      </c>
      <c r="AL68" t="str">
        <f ca="1" t="shared" si="56"/>
        <v> </v>
      </c>
      <c r="AM68" t="str">
        <f ca="1" t="shared" si="56"/>
        <v> </v>
      </c>
      <c r="AN68" t="str">
        <f ca="1" t="shared" si="56"/>
        <v> </v>
      </c>
      <c r="AO68" t="str">
        <f ca="1" t="shared" si="56"/>
        <v> </v>
      </c>
      <c r="AP68" t="str">
        <f ca="1" t="shared" si="56"/>
        <v> </v>
      </c>
      <c r="AQ68" t="str">
        <f ca="1" t="shared" si="56"/>
        <v> </v>
      </c>
      <c r="AR68" t="str">
        <f ca="1" t="shared" si="56"/>
        <v> </v>
      </c>
      <c r="AS68" t="str">
        <f ca="1" t="shared" si="56"/>
        <v> </v>
      </c>
      <c r="AT68" t="str">
        <f ca="1" t="shared" si="56"/>
        <v> </v>
      </c>
      <c r="AU68" t="str">
        <f ca="1" t="shared" si="56"/>
        <v> </v>
      </c>
      <c r="AV68" t="str">
        <f ca="1" t="shared" si="56"/>
        <v> </v>
      </c>
      <c r="AW68" t="str">
        <f ca="1" t="shared" si="56"/>
        <v> </v>
      </c>
      <c r="AX68" t="str">
        <f ca="1" t="shared" si="56"/>
        <v> </v>
      </c>
      <c r="AY68" t="str">
        <f ca="1" t="shared" si="57"/>
        <v> </v>
      </c>
      <c r="AZ68" t="str">
        <f ca="1" t="shared" si="57"/>
        <v> </v>
      </c>
      <c r="BA68" t="str">
        <f ca="1" t="shared" si="57"/>
        <v> </v>
      </c>
      <c r="BB68" s="2"/>
      <c r="BC68" s="2"/>
    </row>
    <row r="69" spans="33:55" ht="12.75">
      <c r="AG69">
        <v>45</v>
      </c>
      <c r="AH69" t="str">
        <f ca="1" t="shared" si="55"/>
        <v> </v>
      </c>
      <c r="AI69" t="str">
        <f ca="1" t="shared" si="56"/>
        <v> </v>
      </c>
      <c r="AJ69" t="str">
        <f ca="1" t="shared" si="56"/>
        <v> </v>
      </c>
      <c r="AK69" t="str">
        <f ca="1" t="shared" si="56"/>
        <v> </v>
      </c>
      <c r="AL69" t="str">
        <f ca="1" t="shared" si="56"/>
        <v> </v>
      </c>
      <c r="AM69" t="str">
        <f ca="1" t="shared" si="56"/>
        <v> </v>
      </c>
      <c r="AN69" t="str">
        <f ca="1" t="shared" si="56"/>
        <v> </v>
      </c>
      <c r="AO69" t="str">
        <f ca="1" t="shared" si="56"/>
        <v> </v>
      </c>
      <c r="AP69" t="str">
        <f ca="1" t="shared" si="56"/>
        <v> </v>
      </c>
      <c r="AQ69" t="str">
        <f ca="1" t="shared" si="56"/>
        <v> </v>
      </c>
      <c r="AR69" t="str">
        <f ca="1" t="shared" si="56"/>
        <v> </v>
      </c>
      <c r="AS69" t="str">
        <f ca="1" t="shared" si="56"/>
        <v> </v>
      </c>
      <c r="AT69" t="str">
        <f ca="1" t="shared" si="56"/>
        <v> </v>
      </c>
      <c r="AU69" t="str">
        <f ca="1" t="shared" si="56"/>
        <v> </v>
      </c>
      <c r="AV69" t="str">
        <f ca="1" t="shared" si="56"/>
        <v> </v>
      </c>
      <c r="AW69" t="str">
        <f ca="1" t="shared" si="56"/>
        <v> </v>
      </c>
      <c r="AX69" t="str">
        <f ca="1" t="shared" si="56"/>
        <v> </v>
      </c>
      <c r="AY69" t="str">
        <f ca="1" t="shared" si="57"/>
        <v> </v>
      </c>
      <c r="AZ69" t="str">
        <f ca="1" t="shared" si="57"/>
        <v> </v>
      </c>
      <c r="BA69" t="str">
        <f ca="1" t="shared" si="57"/>
        <v> </v>
      </c>
      <c r="BB69" s="2"/>
      <c r="BC69" s="2"/>
    </row>
    <row r="70" spans="33:55" ht="12.75">
      <c r="AG70">
        <v>46</v>
      </c>
      <c r="AH70" t="str">
        <f ca="1" t="shared" si="55"/>
        <v> </v>
      </c>
      <c r="AI70" t="str">
        <f ca="1" t="shared" si="56"/>
        <v> </v>
      </c>
      <c r="AJ70" t="str">
        <f ca="1" t="shared" si="56"/>
        <v> </v>
      </c>
      <c r="AK70" t="str">
        <f ca="1" t="shared" si="56"/>
        <v> </v>
      </c>
      <c r="AL70" t="str">
        <f ca="1" t="shared" si="56"/>
        <v> </v>
      </c>
      <c r="AM70" t="str">
        <f ca="1" t="shared" si="56"/>
        <v> </v>
      </c>
      <c r="AN70" t="str">
        <f ca="1" t="shared" si="56"/>
        <v> </v>
      </c>
      <c r="AO70" t="str">
        <f ca="1" t="shared" si="56"/>
        <v> </v>
      </c>
      <c r="AP70" t="str">
        <f ca="1" t="shared" si="56"/>
        <v> </v>
      </c>
      <c r="AQ70" t="str">
        <f ca="1" t="shared" si="56"/>
        <v> </v>
      </c>
      <c r="AR70" t="str">
        <f ca="1" t="shared" si="56"/>
        <v> </v>
      </c>
      <c r="AS70" t="str">
        <f ca="1" t="shared" si="56"/>
        <v> </v>
      </c>
      <c r="AT70" t="str">
        <f ca="1" t="shared" si="56"/>
        <v> </v>
      </c>
      <c r="AU70" t="str">
        <f ca="1" t="shared" si="56"/>
        <v> </v>
      </c>
      <c r="AV70" t="str">
        <f ca="1" t="shared" si="56"/>
        <v> </v>
      </c>
      <c r="AW70" t="str">
        <f ca="1" t="shared" si="56"/>
        <v> </v>
      </c>
      <c r="AX70" t="str">
        <f ca="1">INDIRECT(AX$53&amp;$AG70)</f>
        <v> </v>
      </c>
      <c r="AY70" t="str">
        <f ca="1" t="shared" si="57"/>
        <v> </v>
      </c>
      <c r="AZ70" t="str">
        <f ca="1" t="shared" si="57"/>
        <v> </v>
      </c>
      <c r="BA70" t="str">
        <f ca="1" t="shared" si="57"/>
        <v> </v>
      </c>
      <c r="BB70" s="2"/>
      <c r="BC70" s="2"/>
    </row>
    <row r="71" spans="33:55" ht="12.75">
      <c r="AG71">
        <v>47</v>
      </c>
      <c r="AH71" t="str">
        <f ca="1" t="shared" si="55"/>
        <v> </v>
      </c>
      <c r="AI71" t="str">
        <f ca="1" t="shared" si="58" ref="AI71:AW71">INDIRECT(AI$53&amp;$AG71)</f>
        <v> </v>
      </c>
      <c r="AJ71" t="str">
        <f ca="1" t="shared" si="58"/>
        <v> </v>
      </c>
      <c r="AK71" t="str">
        <f ca="1" t="shared" si="58"/>
        <v> </v>
      </c>
      <c r="AL71" t="str">
        <f ca="1" t="shared" si="58"/>
        <v> </v>
      </c>
      <c r="AM71" t="str">
        <f ca="1" t="shared" si="58"/>
        <v> </v>
      </c>
      <c r="AN71" t="str">
        <f ca="1" t="shared" si="58"/>
        <v> </v>
      </c>
      <c r="AO71" t="str">
        <f ca="1" t="shared" si="58"/>
        <v> </v>
      </c>
      <c r="AP71" t="str">
        <f ca="1" t="shared" si="58"/>
        <v> </v>
      </c>
      <c r="AQ71" t="str">
        <f ca="1" t="shared" si="58"/>
        <v> </v>
      </c>
      <c r="AR71" t="str">
        <f ca="1" t="shared" si="58"/>
        <v> </v>
      </c>
      <c r="AS71" t="str">
        <f ca="1" t="shared" si="58"/>
        <v> </v>
      </c>
      <c r="AT71" t="str">
        <f ca="1" t="shared" si="58"/>
        <v> </v>
      </c>
      <c r="AU71" t="str">
        <f ca="1" t="shared" si="58"/>
        <v> </v>
      </c>
      <c r="AV71" t="str">
        <f ca="1" t="shared" si="58"/>
        <v> </v>
      </c>
      <c r="AW71" t="str">
        <f ca="1" t="shared" si="58"/>
        <v> </v>
      </c>
      <c r="AX71" t="str">
        <f ca="1">INDIRECT(AX$53&amp;$AG71)</f>
        <v> </v>
      </c>
      <c r="AY71" t="str">
        <f ca="1" t="shared" si="57"/>
        <v> </v>
      </c>
      <c r="AZ71" t="str">
        <f ca="1" t="shared" si="57"/>
        <v> </v>
      </c>
      <c r="BA71" t="str">
        <f ca="1" t="shared" si="57"/>
        <v> </v>
      </c>
      <c r="BB71" s="2"/>
      <c r="BC71" s="2"/>
    </row>
    <row r="72" spans="33:55" ht="12.75">
      <c r="AG72">
        <v>48</v>
      </c>
      <c r="AH72" t="str">
        <f ca="1" t="shared" si="59" ref="AH72:AW74">INDIRECT(AH$53&amp;$AG72)</f>
        <v> </v>
      </c>
      <c r="AI72" t="str">
        <f ca="1" t="shared" si="59"/>
        <v> </v>
      </c>
      <c r="AJ72" t="str">
        <f ca="1" t="shared" si="59"/>
        <v> </v>
      </c>
      <c r="AK72" t="str">
        <f ca="1" t="shared" si="59"/>
        <v> </v>
      </c>
      <c r="AL72" t="str">
        <f ca="1" t="shared" si="59"/>
        <v> </v>
      </c>
      <c r="AM72" t="str">
        <f ca="1" t="shared" si="59"/>
        <v> </v>
      </c>
      <c r="AN72" t="str">
        <f ca="1" t="shared" si="59"/>
        <v> </v>
      </c>
      <c r="AO72" t="str">
        <f ca="1" t="shared" si="59"/>
        <v> </v>
      </c>
      <c r="AP72" t="str">
        <f ca="1" t="shared" si="59"/>
        <v> </v>
      </c>
      <c r="AQ72" t="str">
        <f ca="1" t="shared" si="59"/>
        <v> </v>
      </c>
      <c r="AR72" t="str">
        <f ca="1" t="shared" si="59"/>
        <v> </v>
      </c>
      <c r="AS72" t="str">
        <f ca="1" t="shared" si="59"/>
        <v> </v>
      </c>
      <c r="AT72" t="str">
        <f ca="1" t="shared" si="59"/>
        <v> </v>
      </c>
      <c r="AU72" t="str">
        <f ca="1" t="shared" si="59"/>
        <v> </v>
      </c>
      <c r="AV72" t="str">
        <f ca="1" t="shared" si="59"/>
        <v> </v>
      </c>
      <c r="AW72" t="str">
        <f ca="1" t="shared" si="59"/>
        <v> </v>
      </c>
      <c r="AX72" t="str">
        <f ca="1">INDIRECT(AX$53&amp;$AG72)</f>
        <v> </v>
      </c>
      <c r="AY72" t="str">
        <f ca="1" t="shared" si="57"/>
        <v> </v>
      </c>
      <c r="AZ72" t="str">
        <f ca="1" t="shared" si="57"/>
        <v> </v>
      </c>
      <c r="BA72" t="str">
        <f ca="1" t="shared" si="57"/>
        <v> </v>
      </c>
      <c r="BB72" s="2"/>
      <c r="BC72" s="2"/>
    </row>
    <row r="73" spans="33:55" ht="12.75">
      <c r="AG73" s="2">
        <v>49</v>
      </c>
      <c r="AH73" t="str">
        <f ca="1" t="shared" si="59"/>
        <v> </v>
      </c>
      <c r="AI73" t="str">
        <f ca="1" t="shared" si="59"/>
        <v> </v>
      </c>
      <c r="AJ73" t="str">
        <f ca="1" t="shared" si="59"/>
        <v> </v>
      </c>
      <c r="AK73" t="str">
        <f ca="1" t="shared" si="59"/>
        <v> </v>
      </c>
      <c r="AL73" t="str">
        <f ca="1" t="shared" si="59"/>
        <v> </v>
      </c>
      <c r="AM73" t="str">
        <f ca="1" t="shared" si="59"/>
        <v> </v>
      </c>
      <c r="AN73" t="str">
        <f ca="1" t="shared" si="59"/>
        <v> </v>
      </c>
      <c r="AO73" t="str">
        <f ca="1" t="shared" si="59"/>
        <v> </v>
      </c>
      <c r="AP73" t="str">
        <f ca="1" t="shared" si="59"/>
        <v> </v>
      </c>
      <c r="AQ73" t="str">
        <f ca="1" t="shared" si="59"/>
        <v> </v>
      </c>
      <c r="AR73" t="str">
        <f ca="1" t="shared" si="59"/>
        <v> </v>
      </c>
      <c r="AS73" t="str">
        <f ca="1" t="shared" si="59"/>
        <v> </v>
      </c>
      <c r="AT73" t="str">
        <f ca="1" t="shared" si="59"/>
        <v> </v>
      </c>
      <c r="AU73" t="str">
        <f ca="1" t="shared" si="59"/>
        <v> </v>
      </c>
      <c r="AV73" t="str">
        <f ca="1" t="shared" si="59"/>
        <v> </v>
      </c>
      <c r="AW73" t="str">
        <f ca="1" t="shared" si="59"/>
        <v> </v>
      </c>
      <c r="AX73" t="str">
        <f ca="1">INDIRECT(AX$53&amp;$AG73)</f>
        <v> </v>
      </c>
      <c r="AY73" t="str">
        <f ca="1" t="shared" si="57"/>
        <v> </v>
      </c>
      <c r="AZ73" t="str">
        <f ca="1" t="shared" si="57"/>
        <v> </v>
      </c>
      <c r="BA73" t="str">
        <f ca="1" t="shared" si="57"/>
        <v> </v>
      </c>
      <c r="BB73" s="2"/>
      <c r="BC73" s="2"/>
    </row>
    <row r="74" spans="33:55" ht="12.75">
      <c r="AG74" s="4">
        <v>50</v>
      </c>
      <c r="AH74" t="str">
        <f ca="1" t="shared" si="59"/>
        <v> </v>
      </c>
      <c r="AI74" t="str">
        <f ca="1" t="shared" si="59"/>
        <v> </v>
      </c>
      <c r="AJ74" t="str">
        <f ca="1" t="shared" si="59"/>
        <v> </v>
      </c>
      <c r="AK74" t="str">
        <f ca="1" t="shared" si="59"/>
        <v> </v>
      </c>
      <c r="AL74" t="str">
        <f ca="1" t="shared" si="59"/>
        <v> </v>
      </c>
      <c r="AM74" t="str">
        <f ca="1" t="shared" si="59"/>
        <v> </v>
      </c>
      <c r="AN74" t="str">
        <f ca="1" t="shared" si="59"/>
        <v> </v>
      </c>
      <c r="AO74" t="str">
        <f ca="1" t="shared" si="59"/>
        <v> </v>
      </c>
      <c r="AP74" t="str">
        <f ca="1" t="shared" si="59"/>
        <v> </v>
      </c>
      <c r="AQ74" t="str">
        <f ca="1" t="shared" si="59"/>
        <v> </v>
      </c>
      <c r="AR74" t="str">
        <f ca="1" t="shared" si="59"/>
        <v> </v>
      </c>
      <c r="AS74" t="str">
        <f ca="1" t="shared" si="59"/>
        <v> </v>
      </c>
      <c r="AT74" t="str">
        <f ca="1" t="shared" si="59"/>
        <v> </v>
      </c>
      <c r="AU74" t="str">
        <f ca="1" t="shared" si="59"/>
        <v> </v>
      </c>
      <c r="AV74" t="str">
        <f ca="1" t="shared" si="59"/>
        <v> </v>
      </c>
      <c r="AW74" t="str">
        <f ca="1" t="shared" si="59"/>
        <v> </v>
      </c>
      <c r="AX74" t="str">
        <f ca="1">INDIRECT(AX$53&amp;$AG74)</f>
        <v> </v>
      </c>
      <c r="AY74" t="str">
        <f ca="1" t="shared" si="57"/>
        <v> </v>
      </c>
      <c r="AZ74" t="str">
        <f ca="1" t="shared" si="57"/>
        <v> </v>
      </c>
      <c r="BA74" t="str">
        <f ca="1" t="shared" si="57"/>
        <v> </v>
      </c>
      <c r="BB74" s="2"/>
      <c r="BC74" s="2"/>
    </row>
    <row r="75" spans="33:55" ht="12.75"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33:55" ht="12.75"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3:55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3:55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3:55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3:55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3:55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3:55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3:55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3:55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3:55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3:55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3:55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3:55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3:55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3:55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3:55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3:55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3:55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3:55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3:55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3:55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3:55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3:55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3:55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3:55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3:55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3:55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3:55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3:55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3:55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3:55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3:55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3:55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</row>
    <row r="109" spans="3:55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</row>
    <row r="110" spans="3:55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</row>
    <row r="111" spans="3:55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</row>
    <row r="112" spans="3:55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3:55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</row>
    <row r="114" spans="3:55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</row>
    <row r="115" spans="3:55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</row>
    <row r="116" spans="3:55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</row>
    <row r="117" spans="3:55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</row>
    <row r="118" spans="3:55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</row>
    <row r="119" spans="3:55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</row>
    <row r="120" spans="3:55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</row>
    <row r="121" spans="3:55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</row>
    <row r="122" spans="3:55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</row>
    <row r="123" spans="3:55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</row>
    <row r="124" spans="3:55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</row>
    <row r="125" spans="3:55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</row>
    <row r="126" spans="3:55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</row>
    <row r="127" spans="3:55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</row>
    <row r="128" spans="3:55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</row>
    <row r="129" spans="3:55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</row>
    <row r="130" spans="3:55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3:55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3:55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</row>
    <row r="133" spans="3:55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</row>
    <row r="134" spans="3:55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3:55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3:55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3:55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3:55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3:55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3:55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3:55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3:55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3:55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3:55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pans="3:55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</row>
    <row r="146" spans="3:55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</row>
    <row r="147" spans="3:55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</row>
    <row r="148" spans="3:55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</row>
    <row r="149" spans="3:55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</row>
    <row r="150" spans="3:55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</row>
    <row r="151" spans="3:55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</row>
    <row r="152" spans="3:55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</row>
    <row r="153" spans="3:55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</row>
    <row r="154" spans="3:55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</row>
    <row r="155" spans="3:55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</row>
    <row r="156" spans="3:55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</row>
    <row r="157" spans="3:55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</row>
    <row r="158" spans="3:55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</row>
    <row r="159" spans="3:55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</row>
    <row r="160" spans="3:55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</row>
    <row r="161" spans="3:55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</row>
    <row r="162" spans="3:55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</row>
    <row r="163" spans="3:55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</row>
    <row r="164" spans="3:55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</row>
    <row r="165" spans="3:55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</row>
    <row r="166" spans="3:55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</row>
    <row r="167" spans="3:55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</row>
    <row r="168" spans="3:55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</row>
    <row r="169" spans="3:55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</row>
    <row r="170" spans="3:55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</row>
    <row r="171" spans="3:55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</row>
    <row r="172" spans="3:55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</row>
    <row r="173" spans="3:55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</row>
    <row r="174" spans="3:55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</row>
    <row r="175" spans="3:55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</row>
    <row r="176" spans="3:55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</row>
    <row r="177" spans="3:55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3:55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3:55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3:55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</row>
    <row r="181" spans="3:55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2" spans="3:55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</row>
    <row r="183" spans="3:55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</row>
    <row r="184" spans="3:55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</row>
    <row r="185" spans="3:55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</row>
    <row r="186" spans="3:55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3:55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3:55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</row>
    <row r="189" spans="3:55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</row>
    <row r="190" spans="3:55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</row>
    <row r="191" spans="3:55" ht="12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</row>
    <row r="192" spans="3:55" ht="12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</row>
    <row r="193" spans="3:55" ht="12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</row>
    <row r="194" spans="3:55" ht="12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</row>
    <row r="195" spans="3:55" ht="12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</row>
    <row r="196" spans="3:55" ht="12.7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</row>
    <row r="197" spans="3:55" ht="12.7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</row>
    <row r="198" spans="3:55" ht="12.7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</row>
    <row r="199" spans="3:55" ht="12.7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</row>
    <row r="200" spans="3:55" ht="12.7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</row>
    <row r="201" spans="3:55" ht="12.7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</row>
    <row r="202" spans="3:55" ht="12.7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</row>
    <row r="203" spans="3:55" ht="12.7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</row>
    <row r="204" spans="3:55" ht="12.7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</row>
    <row r="205" spans="3:55" ht="12.7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</row>
    <row r="206" spans="3:55" ht="12.7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</row>
  </sheetData>
  <conditionalFormatting sqref="C50 X50:Z50 X24:Z24 C24">
    <cfRule type="expression" priority="1" dxfId="0" stopIfTrue="1">
      <formula>$C$50="spielfrei"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DI49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4.28125" style="0" customWidth="1"/>
    <col min="3" max="3" width="20.7109375" style="0" customWidth="1"/>
    <col min="4" max="4" width="4.28125" style="0" customWidth="1"/>
    <col min="5" max="5" width="10.7109375" style="0" customWidth="1"/>
    <col min="7" max="7" width="5.140625" style="0" customWidth="1"/>
    <col min="8" max="8" width="5.140625" style="0" hidden="1" customWidth="1"/>
    <col min="9" max="9" width="4.28125" style="0" hidden="1" customWidth="1"/>
    <col min="10" max="10" width="20.7109375" style="0" hidden="1" customWidth="1"/>
    <col min="11" max="11" width="4.28125" style="0" hidden="1" customWidth="1"/>
    <col min="12" max="12" width="10.7109375" style="0" hidden="1" customWidth="1"/>
    <col min="13" max="13" width="11.421875" style="0" hidden="1" customWidth="1"/>
    <col min="14" max="14" width="18.7109375" style="0" hidden="1" customWidth="1"/>
    <col min="15" max="16" width="3.7109375" style="0" hidden="1" customWidth="1"/>
    <col min="17" max="19" width="11.421875" style="0" hidden="1" customWidth="1"/>
    <col min="20" max="20" width="5.7109375" style="1" hidden="1" customWidth="1"/>
    <col min="21" max="26" width="11.421875" style="0" hidden="1" customWidth="1"/>
    <col min="27" max="27" width="17.57421875" style="0" hidden="1" customWidth="1"/>
    <col min="28" max="29" width="6.7109375" style="1" hidden="1" customWidth="1"/>
    <col min="30" max="105" width="8.7109375" style="0" hidden="1" customWidth="1"/>
    <col min="106" max="114" width="11.421875" style="0" hidden="1" customWidth="1"/>
  </cols>
  <sheetData>
    <row r="1" spans="2:113" ht="24.75" customHeight="1">
      <c r="B1" s="79" t="str">
        <f>Eingabe!$G$3</f>
        <v>z. B. Monatsblitzturnier</v>
      </c>
      <c r="C1" s="12"/>
      <c r="D1" s="12"/>
      <c r="E1" s="12"/>
      <c r="F1" s="12"/>
      <c r="AD1" s="150"/>
      <c r="AW1" s="150"/>
      <c r="BP1" s="150"/>
      <c r="CI1" s="150"/>
      <c r="DB1" s="151" t="s">
        <v>70</v>
      </c>
      <c r="DC1" s="152" t="s">
        <v>71</v>
      </c>
      <c r="DD1" s="152" t="s">
        <v>72</v>
      </c>
      <c r="DE1" s="152" t="s">
        <v>73</v>
      </c>
      <c r="DF1" s="152" t="s">
        <v>74</v>
      </c>
      <c r="DG1" s="152" t="s">
        <v>75</v>
      </c>
      <c r="DH1" s="126" t="s">
        <v>76</v>
      </c>
      <c r="DI1" s="167"/>
    </row>
    <row r="2" spans="2:113" ht="19.5" customHeight="1" thickBot="1">
      <c r="B2" s="37"/>
      <c r="C2" s="37"/>
      <c r="D2" s="38"/>
      <c r="E2" s="38" t="s">
        <v>22</v>
      </c>
      <c r="F2" s="39" t="str">
        <f>Eingabe!G2</f>
        <v>??.??.????</v>
      </c>
      <c r="I2" s="2"/>
      <c r="J2" s="2"/>
      <c r="K2" s="2"/>
      <c r="L2" s="2"/>
      <c r="M2" s="2"/>
      <c r="AD2" s="187" t="s">
        <v>77</v>
      </c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9"/>
      <c r="AW2" s="187" t="s">
        <v>78</v>
      </c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9"/>
      <c r="BP2" s="187" t="s">
        <v>79</v>
      </c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7" t="s">
        <v>80</v>
      </c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9"/>
      <c r="DB2" s="155" t="s">
        <v>81</v>
      </c>
      <c r="DC2" s="156" t="s">
        <v>82</v>
      </c>
      <c r="DD2" s="157" t="s">
        <v>83</v>
      </c>
      <c r="DE2" s="157" t="s">
        <v>84</v>
      </c>
      <c r="DF2" s="157" t="s">
        <v>85</v>
      </c>
      <c r="DG2" s="157" t="s">
        <v>86</v>
      </c>
      <c r="DH2" s="157" t="s">
        <v>87</v>
      </c>
      <c r="DI2" s="168" t="s">
        <v>88</v>
      </c>
    </row>
    <row r="3" spans="2:113" ht="19.5" customHeight="1">
      <c r="B3" s="40"/>
      <c r="C3" s="80" t="s">
        <v>49</v>
      </c>
      <c r="D3" s="42"/>
      <c r="E3" s="42"/>
      <c r="F3" s="43"/>
      <c r="I3" s="40"/>
      <c r="J3" s="41"/>
      <c r="K3" s="42"/>
      <c r="L3" s="42"/>
      <c r="M3" s="43"/>
      <c r="AA3" s="158" t="s">
        <v>64</v>
      </c>
      <c r="AB3" s="159" t="s">
        <v>66</v>
      </c>
      <c r="AC3" s="159" t="s">
        <v>65</v>
      </c>
      <c r="AD3" s="160" t="s">
        <v>23</v>
      </c>
      <c r="AE3" s="3" t="s">
        <v>24</v>
      </c>
      <c r="AF3" s="3" t="s">
        <v>25</v>
      </c>
      <c r="AG3" s="3" t="s">
        <v>26</v>
      </c>
      <c r="AH3" s="3" t="s">
        <v>27</v>
      </c>
      <c r="AI3" s="3" t="s">
        <v>30</v>
      </c>
      <c r="AJ3" s="3" t="s">
        <v>31</v>
      </c>
      <c r="AK3" s="3" t="s">
        <v>32</v>
      </c>
      <c r="AL3" s="3" t="s">
        <v>33</v>
      </c>
      <c r="AM3" s="3" t="s">
        <v>34</v>
      </c>
      <c r="AN3" s="3" t="s">
        <v>35</v>
      </c>
      <c r="AO3" s="3" t="s">
        <v>36</v>
      </c>
      <c r="AP3" s="3" t="s">
        <v>37</v>
      </c>
      <c r="AQ3" s="3" t="s">
        <v>38</v>
      </c>
      <c r="AR3" s="3" t="s">
        <v>39</v>
      </c>
      <c r="AS3" s="3" t="s">
        <v>40</v>
      </c>
      <c r="AT3" s="3" t="s">
        <v>41</v>
      </c>
      <c r="AU3" s="3" t="s">
        <v>42</v>
      </c>
      <c r="AV3" s="3" t="s">
        <v>43</v>
      </c>
      <c r="AW3" s="160" t="s">
        <v>23</v>
      </c>
      <c r="AX3" s="3" t="s">
        <v>24</v>
      </c>
      <c r="AY3" s="3" t="s">
        <v>25</v>
      </c>
      <c r="AZ3" s="3" t="s">
        <v>26</v>
      </c>
      <c r="BA3" s="3" t="s">
        <v>27</v>
      </c>
      <c r="BB3" s="3" t="s">
        <v>30</v>
      </c>
      <c r="BC3" s="3" t="s">
        <v>31</v>
      </c>
      <c r="BD3" s="3" t="s">
        <v>32</v>
      </c>
      <c r="BE3" s="3" t="s">
        <v>33</v>
      </c>
      <c r="BF3" s="3" t="s">
        <v>34</v>
      </c>
      <c r="BG3" s="3" t="s">
        <v>35</v>
      </c>
      <c r="BH3" s="3" t="s">
        <v>36</v>
      </c>
      <c r="BI3" s="3" t="s">
        <v>37</v>
      </c>
      <c r="BJ3" s="3" t="s">
        <v>38</v>
      </c>
      <c r="BK3" s="3" t="s">
        <v>39</v>
      </c>
      <c r="BL3" s="3" t="s">
        <v>40</v>
      </c>
      <c r="BM3" s="3" t="s">
        <v>41</v>
      </c>
      <c r="BN3" s="3" t="s">
        <v>42</v>
      </c>
      <c r="BO3" s="3" t="s">
        <v>43</v>
      </c>
      <c r="BP3" s="160" t="s">
        <v>23</v>
      </c>
      <c r="BQ3" s="3" t="s">
        <v>24</v>
      </c>
      <c r="BR3" s="3" t="s">
        <v>25</v>
      </c>
      <c r="BS3" s="3" t="s">
        <v>26</v>
      </c>
      <c r="BT3" s="3" t="s">
        <v>27</v>
      </c>
      <c r="BU3" s="3" t="s">
        <v>30</v>
      </c>
      <c r="BV3" s="3" t="s">
        <v>31</v>
      </c>
      <c r="BW3" s="3" t="s">
        <v>32</v>
      </c>
      <c r="BX3" s="3" t="s">
        <v>33</v>
      </c>
      <c r="BY3" s="3" t="s">
        <v>34</v>
      </c>
      <c r="BZ3" s="3" t="s">
        <v>35</v>
      </c>
      <c r="CA3" s="3" t="s">
        <v>36</v>
      </c>
      <c r="CB3" s="3" t="s">
        <v>37</v>
      </c>
      <c r="CC3" s="3" t="s">
        <v>38</v>
      </c>
      <c r="CD3" s="3" t="s">
        <v>39</v>
      </c>
      <c r="CE3" s="3" t="s">
        <v>40</v>
      </c>
      <c r="CF3" s="3" t="s">
        <v>41</v>
      </c>
      <c r="CG3" s="3" t="s">
        <v>42</v>
      </c>
      <c r="CH3" s="3" t="s">
        <v>43</v>
      </c>
      <c r="CI3" s="160" t="s">
        <v>23</v>
      </c>
      <c r="CJ3" s="3" t="s">
        <v>24</v>
      </c>
      <c r="CK3" s="3" t="s">
        <v>25</v>
      </c>
      <c r="CL3" s="3" t="s">
        <v>26</v>
      </c>
      <c r="CM3" s="3" t="s">
        <v>27</v>
      </c>
      <c r="CN3" s="3" t="s">
        <v>30</v>
      </c>
      <c r="CO3" s="3" t="s">
        <v>31</v>
      </c>
      <c r="CP3" s="3" t="s">
        <v>32</v>
      </c>
      <c r="CQ3" s="3" t="s">
        <v>33</v>
      </c>
      <c r="CR3" s="3" t="s">
        <v>34</v>
      </c>
      <c r="CS3" s="3" t="s">
        <v>35</v>
      </c>
      <c r="CT3" s="3" t="s">
        <v>36</v>
      </c>
      <c r="CU3" s="3" t="s">
        <v>37</v>
      </c>
      <c r="CV3" s="3" t="s">
        <v>38</v>
      </c>
      <c r="CW3" s="3" t="s">
        <v>39</v>
      </c>
      <c r="CX3" s="3" t="s">
        <v>40</v>
      </c>
      <c r="CY3" s="3" t="s">
        <v>41</v>
      </c>
      <c r="CZ3" s="3" t="s">
        <v>42</v>
      </c>
      <c r="DA3" s="3" t="s">
        <v>43</v>
      </c>
      <c r="DB3" s="150"/>
      <c r="DI3" s="169"/>
    </row>
    <row r="4" spans="2:113" ht="19.5" customHeight="1">
      <c r="B4" s="44"/>
      <c r="C4" s="166" t="str">
        <f>J4</f>
        <v>Stand nach der 0. Runde</v>
      </c>
      <c r="D4" s="45"/>
      <c r="E4" s="48" t="s">
        <v>47</v>
      </c>
      <c r="F4" s="53" t="s">
        <v>46</v>
      </c>
      <c r="I4" s="44"/>
      <c r="J4" s="82" t="str">
        <f>IF(EXACT("spielfrei",Eingabe!G15)=TRUE,Q4,R4)</f>
        <v>Stand nach der 0. Runde</v>
      </c>
      <c r="K4" s="45"/>
      <c r="L4" s="48" t="s">
        <v>47</v>
      </c>
      <c r="M4" s="53" t="s">
        <v>46</v>
      </c>
      <c r="O4" s="31">
        <f>IF(SUM(K5:K23)=342,1,0)</f>
        <v>0</v>
      </c>
      <c r="P4" s="31"/>
      <c r="Q4" s="83" t="str">
        <f>IF((SUM(K5:K23))/18=MAX(K5:K23)+O4,"Stand nach der "&amp;(MAX(K5:K23)+O4)&amp;". Runde","")</f>
        <v>Stand nach der 0. Runde</v>
      </c>
      <c r="R4" s="83" t="str">
        <f>IF((SUM(K5:K24))/20=MAX(K5:K24),"Stand nach der "&amp;MAX(K5:K24)&amp;". Runde","")</f>
        <v>Stand nach der 0. Runde</v>
      </c>
      <c r="AA4" t="str">
        <f>Eingabe!C6</f>
        <v>Spieler 1</v>
      </c>
      <c r="AB4" s="1">
        <f>IF(Eingabe!E6=" ",0,Eingabe!E6)</f>
        <v>0</v>
      </c>
      <c r="AC4" s="1">
        <f>IF(Eingabe!D6=5,5,IF(Eingabe!D6=10,10,15))</f>
        <v>15</v>
      </c>
      <c r="AD4" s="160">
        <f>$AB$23</f>
        <v>0</v>
      </c>
      <c r="AE4" s="3">
        <f>$AB$21</f>
        <v>0</v>
      </c>
      <c r="AF4" s="3">
        <f>$AB$19</f>
        <v>0</v>
      </c>
      <c r="AG4" s="3">
        <f>$AB$17</f>
        <v>0</v>
      </c>
      <c r="AH4" s="3">
        <f>$AB$15</f>
        <v>0</v>
      </c>
      <c r="AI4" s="3">
        <f>$AB$13</f>
        <v>0</v>
      </c>
      <c r="AJ4" s="3">
        <f>$AB$11</f>
        <v>0</v>
      </c>
      <c r="AK4" s="3">
        <f>$AB$9</f>
        <v>0</v>
      </c>
      <c r="AL4" s="3">
        <f>$AB$7</f>
        <v>0</v>
      </c>
      <c r="AM4" s="3">
        <f>$AB$5</f>
        <v>0</v>
      </c>
      <c r="AN4" s="3">
        <f>$AB$22</f>
        <v>0</v>
      </c>
      <c r="AO4" s="3">
        <f>$AB$20</f>
        <v>0</v>
      </c>
      <c r="AP4" s="3">
        <f>$AB$18</f>
        <v>0</v>
      </c>
      <c r="AQ4" s="3">
        <f>$AB$16</f>
        <v>0</v>
      </c>
      <c r="AR4" s="3">
        <f>$AB$14</f>
        <v>0</v>
      </c>
      <c r="AS4" s="3">
        <f>$AB$12</f>
        <v>0</v>
      </c>
      <c r="AT4" s="3">
        <f>$AB$10</f>
        <v>0</v>
      </c>
      <c r="AU4" s="3">
        <f>$AB$8</f>
        <v>0</v>
      </c>
      <c r="AV4" s="3">
        <f>$AB$6</f>
        <v>0</v>
      </c>
      <c r="AW4" s="160" t="str">
        <f>'20 Spieler'!$G$12</f>
        <v> </v>
      </c>
      <c r="AX4" s="3" t="str">
        <f>'20 Spieler'!$Q$13</f>
        <v> </v>
      </c>
      <c r="AY4" s="3" t="str">
        <f>'20 Spieler'!$Y$14</f>
        <v> </v>
      </c>
      <c r="AZ4" s="3" t="str">
        <f>'20 Spieler'!$AG$15</f>
        <v> </v>
      </c>
      <c r="BA4" s="3" t="str">
        <f>'20 Spieler'!$AO$16</f>
        <v> </v>
      </c>
      <c r="BB4" s="3" t="str">
        <f>'20 Spieler'!$I$31</f>
        <v> </v>
      </c>
      <c r="BC4" s="3" t="str">
        <f>'20 Spieler'!$Q$32</f>
        <v> </v>
      </c>
      <c r="BD4" s="3" t="str">
        <f>'20 Spieler'!$Y$33</f>
        <v> </v>
      </c>
      <c r="BE4" s="3" t="str">
        <f>'20 Spieler'!$AG$34</f>
        <v> </v>
      </c>
      <c r="BF4" s="3" t="str">
        <f>'20 Spieler'!$AO$35</f>
        <v> </v>
      </c>
      <c r="BG4" s="3" t="str">
        <f>'20 Spieler'!$G$49</f>
        <v> </v>
      </c>
      <c r="BH4" s="3" t="str">
        <f>'20 Spieler'!$O$48</f>
        <v> </v>
      </c>
      <c r="BI4" s="3" t="str">
        <f>'20 Spieler'!$W$47</f>
        <v> </v>
      </c>
      <c r="BJ4" s="3" t="str">
        <f>'20 Spieler'!$AE$46</f>
        <v> </v>
      </c>
      <c r="BK4" s="3" t="str">
        <f>'20 Spieler'!$AM$45</f>
        <v> </v>
      </c>
      <c r="BL4" s="3" t="str">
        <f>'20 Spieler'!$G$58</f>
        <v> </v>
      </c>
      <c r="BM4" s="3" t="str">
        <f>'20 Spieler'!$O$57</f>
        <v> </v>
      </c>
      <c r="BN4" s="3" t="str">
        <f>'20 Spieler'!$W$56</f>
        <v> </v>
      </c>
      <c r="BO4" s="3" t="str">
        <f>'20 Spieler'!$AE$55</f>
        <v> </v>
      </c>
      <c r="BP4" s="160" t="str">
        <f aca="true" t="shared" si="0" ref="BP4:BP23">IF(AD4=0," ",AW4)</f>
        <v> </v>
      </c>
      <c r="BQ4" s="3" t="str">
        <f aca="true" t="shared" si="1" ref="BQ4:BQ23">IF(AE4=0," ",AX4)</f>
        <v> </v>
      </c>
      <c r="BR4" s="3" t="str">
        <f aca="true" t="shared" si="2" ref="BR4:BR23">IF(AF4=0," ",AY4)</f>
        <v> </v>
      </c>
      <c r="BS4" s="3" t="str">
        <f aca="true" t="shared" si="3" ref="BS4:BS23">IF(AG4=0," ",AZ4)</f>
        <v> </v>
      </c>
      <c r="BT4" s="3" t="str">
        <f aca="true" t="shared" si="4" ref="BT4:BT23">IF(AH4=0," ",BA4)</f>
        <v> </v>
      </c>
      <c r="BU4" s="3" t="str">
        <f aca="true" t="shared" si="5" ref="BU4:BU23">IF(AI4=0," ",BB4)</f>
        <v> </v>
      </c>
      <c r="BV4" s="3" t="str">
        <f aca="true" t="shared" si="6" ref="BV4:BV23">IF(AJ4=0," ",BC4)</f>
        <v> </v>
      </c>
      <c r="BW4" s="3" t="str">
        <f aca="true" t="shared" si="7" ref="BW4:BW23">IF(AK4=0," ",BD4)</f>
        <v> </v>
      </c>
      <c r="BX4" s="3" t="str">
        <f aca="true" t="shared" si="8" ref="BX4:BX23">IF(AL4=0," ",BE4)</f>
        <v> </v>
      </c>
      <c r="BY4" s="3" t="str">
        <f aca="true" t="shared" si="9" ref="BY4:BY23">IF(AM4=0," ",BF4)</f>
        <v> </v>
      </c>
      <c r="BZ4" s="3" t="str">
        <f aca="true" t="shared" si="10" ref="BZ4:BZ23">IF(AN4=0," ",BG4)</f>
        <v> </v>
      </c>
      <c r="CA4" s="3" t="str">
        <f aca="true" t="shared" si="11" ref="CA4:CA23">IF(AO4=0," ",BH4)</f>
        <v> </v>
      </c>
      <c r="CB4" s="3" t="str">
        <f aca="true" t="shared" si="12" ref="CB4:CB23">IF(AP4=0," ",BI4)</f>
        <v> </v>
      </c>
      <c r="CC4" s="3" t="str">
        <f aca="true" t="shared" si="13" ref="CC4:CC23">IF(AQ4=0," ",BJ4)</f>
        <v> </v>
      </c>
      <c r="CD4" s="3" t="str">
        <f aca="true" t="shared" si="14" ref="CD4:CD23">IF(AR4=0," ",BK4)</f>
        <v> </v>
      </c>
      <c r="CE4" s="3" t="str">
        <f aca="true" t="shared" si="15" ref="CE4:CE23">IF(AS4=0," ",BL4)</f>
        <v> </v>
      </c>
      <c r="CF4" s="3" t="str">
        <f aca="true" t="shared" si="16" ref="CF4:CF23">IF(AT4=0," ",BM4)</f>
        <v> </v>
      </c>
      <c r="CG4" s="3" t="str">
        <f aca="true" t="shared" si="17" ref="CG4:CG23">IF(AU4=0," ",BN4)</f>
        <v> </v>
      </c>
      <c r="CH4" s="3" t="str">
        <f aca="true" t="shared" si="18" ref="CH4:CH23">IF(AV4=0," ",BO4)</f>
        <v> </v>
      </c>
      <c r="CI4" s="161">
        <f aca="true" t="shared" si="19" ref="CI4:CI23">IF(BP4=" ",0,ROUND(1/(1+(POWER(10,(-1*($AB4-AD4)/400)))),3))</f>
        <v>0</v>
      </c>
      <c r="CJ4" s="162">
        <f aca="true" t="shared" si="20" ref="CJ4:CJ23">IF(BQ4=" ",0,ROUND(1/(1+(POWER(10,(-1*($AB4-AE4)/400)))),3))</f>
        <v>0</v>
      </c>
      <c r="CK4" s="162">
        <f aca="true" t="shared" si="21" ref="CK4:CK23">IF(BR4=" ",0,ROUND(1/(1+(POWER(10,(-1*($AB4-AF4)/400)))),3))</f>
        <v>0</v>
      </c>
      <c r="CL4" s="162">
        <f aca="true" t="shared" si="22" ref="CL4:CL23">IF(BS4=" ",0,ROUND(1/(1+(POWER(10,(-1*($AB4-AG4)/400)))),3))</f>
        <v>0</v>
      </c>
      <c r="CM4" s="162">
        <f aca="true" t="shared" si="23" ref="CM4:CM23">IF(BT4=" ",0,ROUND(1/(1+(POWER(10,(-1*($AB4-AH4)/400)))),3))</f>
        <v>0</v>
      </c>
      <c r="CN4" s="162">
        <f aca="true" t="shared" si="24" ref="CN4:CN23">IF(BU4=" ",0,ROUND(1/(1+(POWER(10,(-1*($AB4-AI4)/400)))),3))</f>
        <v>0</v>
      </c>
      <c r="CO4" s="162">
        <f aca="true" t="shared" si="25" ref="CO4:CO23">IF(BV4=" ",0,ROUND(1/(1+(POWER(10,(-1*($AB4-AJ4)/400)))),3))</f>
        <v>0</v>
      </c>
      <c r="CP4" s="162">
        <f aca="true" t="shared" si="26" ref="CP4:CP23">IF(BW4=" ",0,ROUND(1/(1+(POWER(10,(-1*($AB4-AK4)/400)))),3))</f>
        <v>0</v>
      </c>
      <c r="CQ4" s="162">
        <f aca="true" t="shared" si="27" ref="CQ4:CQ23">IF(BX4=" ",0,ROUND(1/(1+(POWER(10,(-1*($AB4-AL4)/400)))),3))</f>
        <v>0</v>
      </c>
      <c r="CR4" s="162">
        <f aca="true" t="shared" si="28" ref="CR4:CR23">IF(BY4=" ",0,ROUND(1/(1+(POWER(10,(-1*($AB4-AM4)/400)))),3))</f>
        <v>0</v>
      </c>
      <c r="CS4" s="162">
        <f aca="true" t="shared" si="29" ref="CS4:CS23">IF(BZ4=" ",0,ROUND(1/(1+(POWER(10,(-1*($AB4-AN4)/400)))),3))</f>
        <v>0</v>
      </c>
      <c r="CT4" s="162">
        <f aca="true" t="shared" si="30" ref="CT4:CT23">IF(CA4=" ",0,ROUND(1/(1+(POWER(10,(-1*($AB4-AO4)/400)))),3))</f>
        <v>0</v>
      </c>
      <c r="CU4" s="162">
        <f aca="true" t="shared" si="31" ref="CU4:CU23">IF(CB4=" ",0,ROUND(1/(1+(POWER(10,(-1*($AB4-AP4)/400)))),3))</f>
        <v>0</v>
      </c>
      <c r="CV4" s="162">
        <f aca="true" t="shared" si="32" ref="CV4:CV23">IF(CC4=" ",0,ROUND(1/(1+(POWER(10,(-1*($AB4-AQ4)/400)))),3))</f>
        <v>0</v>
      </c>
      <c r="CW4" s="162">
        <f aca="true" t="shared" si="33" ref="CW4:CW23">IF(CD4=" ",0,ROUND(1/(1+(POWER(10,(-1*($AB4-AR4)/400)))),3))</f>
        <v>0</v>
      </c>
      <c r="CX4" s="162">
        <f aca="true" t="shared" si="34" ref="CX4:CX23">IF(CE4=" ",0,ROUND(1/(1+(POWER(10,(-1*($AB4-AS4)/400)))),3))</f>
        <v>0</v>
      </c>
      <c r="CY4" s="162">
        <f aca="true" t="shared" si="35" ref="CY4:CY23">IF(CF4=" ",0,ROUND(1/(1+(POWER(10,(-1*($AB4-AT4)/400)))),3))</f>
        <v>0</v>
      </c>
      <c r="CZ4" s="162">
        <f aca="true" t="shared" si="36" ref="CZ4:CZ23">IF(CG4=" ",0,ROUND(1/(1+(POWER(10,(-1*($AB4-AU4)/400)))),3))</f>
        <v>0</v>
      </c>
      <c r="DA4" s="162">
        <f aca="true" t="shared" si="37" ref="DA4:DA23">IF(CH4=" ",0,ROUND(1/(1+(POWER(10,(-1*($AB4-AV4)/400)))),3))</f>
        <v>0</v>
      </c>
      <c r="DB4" s="163">
        <f>SUM(CI4:DA4)</f>
        <v>0</v>
      </c>
      <c r="DC4" s="1">
        <f aca="true" t="shared" si="38" ref="DC4:DC23">1*((COUNTIF(BP4:CH4,0))+(COUNTIF(BP4:CH4,0.5))+(COUNTIF(BP4:CH4,1)))</f>
        <v>0</v>
      </c>
      <c r="DD4" s="153">
        <f>POWER((AB4/1000),4)+AC4</f>
        <v>15</v>
      </c>
      <c r="DE4" s="153">
        <f>IF(AC4=5,IF(DH4&gt;=DB4,AB4/2000,1),1)</f>
        <v>1</v>
      </c>
      <c r="DF4" s="153">
        <f aca="true" t="shared" si="39" ref="DF4:DF23">IF(DH4&gt;=DB4,0,IF((IF(AI4=5,IF(AH4&lt;1300,(POWER(2.71828,(1300-AH4)/150))-1,0),0))&gt;150,150,IF(AI4=5,IF(AH4&lt;1300,(POWER(2.71828,(1300-AH4)/150))-1,0),0)))</f>
        <v>0</v>
      </c>
      <c r="DG4" s="153">
        <f>IF(DF4&gt;0,IF((ROUND((DD4*DE4)+DF4,0))&lt;5,5,(ROUND((DD4*DE4)+DF4,0))),IF(IF((ROUND((DD4*DE4)+DF4,0))&lt;5,5,(ROUND((DD4*DE4)+DF4,0)))&gt;30,30,IF((ROUND((DD4*DE4)+DF4,0))&lt;5,5,(ROUND((DD4*DE4)+DF4,0)))))</f>
        <v>15</v>
      </c>
      <c r="DH4" s="1">
        <f aca="true" t="shared" si="40" ref="DH4:DH23">SUM(BP4:CH4)</f>
        <v>0</v>
      </c>
      <c r="DI4" s="5">
        <f>IF(AB4=0,0,IF(DC4=0,AB4,ROUND(AB4+800*(DH4-DB4)/(DG4+DC4),0)))</f>
        <v>0</v>
      </c>
    </row>
    <row r="5" spans="2:113" ht="19.5" customHeight="1">
      <c r="B5" s="46" t="str">
        <f>IF(COUNT(D5,E5)=0," ","1.")</f>
        <v>1.</v>
      </c>
      <c r="C5" s="7" t="str">
        <f>VLOOKUP($T5,$I$5:$M$24,2,FALSE)</f>
        <v>Spieler 1</v>
      </c>
      <c r="D5" s="48">
        <f>VLOOKUP($T5,$I$5:$M$24,3,FALSE)</f>
        <v>0</v>
      </c>
      <c r="E5" s="54">
        <f>VLOOKUP($T5,$I$5:$M$24,4,FALSE)</f>
      </c>
      <c r="F5" s="62" t="str">
        <f>VLOOKUP($T5,$I$5:$M$24,5,FALSE)</f>
        <v> </v>
      </c>
      <c r="I5" s="46">
        <f>RANK(N5,$N$5:$N$24,0)</f>
        <v>1</v>
      </c>
      <c r="J5" s="47" t="str">
        <f>'Kreuztabelle 20'!C31</f>
        <v>Spieler 1</v>
      </c>
      <c r="K5" s="48">
        <f>IF(COUNT('Kreuztabelle 20'!D31:'Kreuztabelle 20'!W31)&gt;0,COUNT('Kreuztabelle 20'!D31:'Kreuztabelle 20'!W31),0)</f>
        <v>0</v>
      </c>
      <c r="L5" s="54">
        <f>'Kreuztabelle 20'!Y31</f>
      </c>
      <c r="M5" s="62" t="str">
        <f>'Kreuztabelle 20'!X31</f>
        <v> </v>
      </c>
      <c r="N5">
        <f>IF(M5=" ",0.2,M5*100000+L5*1000-K5+0.2)</f>
        <v>0.2</v>
      </c>
      <c r="O5" s="64">
        <f aca="true" t="shared" si="41" ref="O5:O17">COUNTIF($P$5:$P$24,P5)</f>
        <v>20</v>
      </c>
      <c r="P5" s="64" t="e">
        <f>IF((D5+E5+F5)=0," ",1)</f>
        <v>#VALUE!</v>
      </c>
      <c r="Q5" s="65" t="e">
        <f>IF(O5=1,P5&amp;".",P5&amp;".- "&amp;(P5+O5-1)&amp;".")</f>
        <v>#VALUE!</v>
      </c>
      <c r="R5" s="65" t="str">
        <f aca="true" t="shared" si="42" ref="R5:R24">IF(SUM($D$5:$D$14)=0," ",Q5)</f>
        <v> </v>
      </c>
      <c r="T5" s="1">
        <v>1</v>
      </c>
      <c r="AA5" t="str">
        <f>Eingabe!C7</f>
        <v>Spieler 2</v>
      </c>
      <c r="AB5" s="1">
        <f>IF(Eingabe!E7=" ",0,Eingabe!E7)</f>
        <v>0</v>
      </c>
      <c r="AC5" s="1">
        <f>IF(Eingabe!D7=5,5,IF(Eingabe!D7=10,10,15))</f>
        <v>15</v>
      </c>
      <c r="AD5" s="160">
        <f>$AB$22</f>
        <v>0</v>
      </c>
      <c r="AE5" s="154">
        <f>$AB$20</f>
        <v>0</v>
      </c>
      <c r="AF5" s="154">
        <f>$AB$18</f>
        <v>0</v>
      </c>
      <c r="AG5" s="154">
        <f>$AB$16</f>
        <v>0</v>
      </c>
      <c r="AH5" s="154">
        <f>$AB$14</f>
        <v>0</v>
      </c>
      <c r="AI5" s="154">
        <f>$AB$12</f>
        <v>0</v>
      </c>
      <c r="AJ5" s="154">
        <f>$AB$10</f>
        <v>0</v>
      </c>
      <c r="AK5" s="154">
        <f>$AB$8</f>
        <v>0</v>
      </c>
      <c r="AL5" s="154">
        <f>$AB$6</f>
        <v>0</v>
      </c>
      <c r="AM5" s="154">
        <f>$AB$4</f>
        <v>0</v>
      </c>
      <c r="AN5" s="154">
        <f>$AB$21</f>
        <v>0</v>
      </c>
      <c r="AO5" s="154">
        <f>$AB$19</f>
        <v>0</v>
      </c>
      <c r="AP5" s="154">
        <f>$AB$17</f>
        <v>0</v>
      </c>
      <c r="AQ5" s="154">
        <f>$AB$15</f>
        <v>0</v>
      </c>
      <c r="AR5" s="154">
        <f>$AB$13</f>
        <v>0</v>
      </c>
      <c r="AS5" s="154">
        <f>$AB$11</f>
        <v>0</v>
      </c>
      <c r="AT5" s="154">
        <f>$AB$9</f>
        <v>0</v>
      </c>
      <c r="AU5" s="154">
        <f>$AB$7</f>
        <v>0</v>
      </c>
      <c r="AV5" s="154">
        <f>$AB$23</f>
        <v>0</v>
      </c>
      <c r="AW5" s="160" t="str">
        <f>'20 Spieler'!$I$13</f>
        <v> </v>
      </c>
      <c r="AX5" s="3" t="str">
        <f>'20 Spieler'!$Q$14</f>
        <v> </v>
      </c>
      <c r="AY5" s="3" t="str">
        <f>'20 Spieler'!$Y$15</f>
        <v> </v>
      </c>
      <c r="AZ5" s="3" t="str">
        <f>'20 Spieler'!$AG$16</f>
        <v> </v>
      </c>
      <c r="BA5" s="3" t="str">
        <f>'20 Spieler'!$AO$17</f>
        <v> </v>
      </c>
      <c r="BB5" s="3" t="str">
        <f>'20 Spieler'!$I$32</f>
        <v> </v>
      </c>
      <c r="BC5" s="3" t="str">
        <f>'20 Spieler'!$Q$33</f>
        <v> </v>
      </c>
      <c r="BD5" s="3" t="str">
        <f>'20 Spieler'!$Y$34</f>
        <v> </v>
      </c>
      <c r="BE5" s="3" t="str">
        <f>'20 Spieler'!$AG$35</f>
        <v> </v>
      </c>
      <c r="BF5" s="3" t="str">
        <f>'20 Spieler'!$AM$35</f>
        <v> </v>
      </c>
      <c r="BG5" s="3" t="str">
        <f>'20 Spieler'!$G$48</f>
        <v> </v>
      </c>
      <c r="BH5" s="3" t="str">
        <f>'20 Spieler'!$O$47</f>
        <v> </v>
      </c>
      <c r="BI5" s="3" t="str">
        <f>'20 Spieler'!$W$46</f>
        <v> </v>
      </c>
      <c r="BJ5" s="3" t="str">
        <f>'20 Spieler'!$AE$45</f>
        <v> </v>
      </c>
      <c r="BK5" s="3" t="str">
        <f>'20 Spieler'!$AM$44</f>
        <v> </v>
      </c>
      <c r="BL5" s="3" t="str">
        <f>'20 Spieler'!$G$57</f>
        <v> </v>
      </c>
      <c r="BM5" s="3" t="str">
        <f>'20 Spieler'!$O$56</f>
        <v> </v>
      </c>
      <c r="BN5" s="3" t="str">
        <f>'20 Spieler'!$W$55</f>
        <v> </v>
      </c>
      <c r="BO5" s="3" t="str">
        <f>'20 Spieler'!$AE$54</f>
        <v> </v>
      </c>
      <c r="BP5" s="160" t="str">
        <f t="shared" si="0"/>
        <v> </v>
      </c>
      <c r="BQ5" s="3" t="str">
        <f t="shared" si="1"/>
        <v> </v>
      </c>
      <c r="BR5" s="3" t="str">
        <f t="shared" si="2"/>
        <v> </v>
      </c>
      <c r="BS5" s="3" t="str">
        <f t="shared" si="3"/>
        <v> </v>
      </c>
      <c r="BT5" s="3" t="str">
        <f t="shared" si="4"/>
        <v> </v>
      </c>
      <c r="BU5" s="3" t="str">
        <f t="shared" si="5"/>
        <v> </v>
      </c>
      <c r="BV5" s="3" t="str">
        <f t="shared" si="6"/>
        <v> </v>
      </c>
      <c r="BW5" s="3" t="str">
        <f t="shared" si="7"/>
        <v> </v>
      </c>
      <c r="BX5" s="3" t="str">
        <f t="shared" si="8"/>
        <v> </v>
      </c>
      <c r="BY5" s="3" t="str">
        <f t="shared" si="9"/>
        <v> </v>
      </c>
      <c r="BZ5" s="3" t="str">
        <f t="shared" si="10"/>
        <v> </v>
      </c>
      <c r="CA5" s="3" t="str">
        <f t="shared" si="11"/>
        <v> </v>
      </c>
      <c r="CB5" s="3" t="str">
        <f t="shared" si="12"/>
        <v> </v>
      </c>
      <c r="CC5" s="3" t="str">
        <f t="shared" si="13"/>
        <v> </v>
      </c>
      <c r="CD5" s="3" t="str">
        <f t="shared" si="14"/>
        <v> </v>
      </c>
      <c r="CE5" s="3" t="str">
        <f t="shared" si="15"/>
        <v> </v>
      </c>
      <c r="CF5" s="3" t="str">
        <f t="shared" si="16"/>
        <v> </v>
      </c>
      <c r="CG5" s="3" t="str">
        <f t="shared" si="17"/>
        <v> </v>
      </c>
      <c r="CH5" s="3" t="str">
        <f t="shared" si="18"/>
        <v> </v>
      </c>
      <c r="CI5" s="161">
        <f t="shared" si="19"/>
        <v>0</v>
      </c>
      <c r="CJ5" s="162">
        <f t="shared" si="20"/>
        <v>0</v>
      </c>
      <c r="CK5" s="162">
        <f t="shared" si="21"/>
        <v>0</v>
      </c>
      <c r="CL5" s="162">
        <f t="shared" si="22"/>
        <v>0</v>
      </c>
      <c r="CM5" s="162">
        <f t="shared" si="23"/>
        <v>0</v>
      </c>
      <c r="CN5" s="162">
        <f t="shared" si="24"/>
        <v>0</v>
      </c>
      <c r="CO5" s="162">
        <f t="shared" si="25"/>
        <v>0</v>
      </c>
      <c r="CP5" s="162">
        <f t="shared" si="26"/>
        <v>0</v>
      </c>
      <c r="CQ5" s="162">
        <f t="shared" si="27"/>
        <v>0</v>
      </c>
      <c r="CR5" s="162">
        <f t="shared" si="28"/>
        <v>0</v>
      </c>
      <c r="CS5" s="162">
        <f t="shared" si="29"/>
        <v>0</v>
      </c>
      <c r="CT5" s="162">
        <f t="shared" si="30"/>
        <v>0</v>
      </c>
      <c r="CU5" s="162">
        <f t="shared" si="31"/>
        <v>0</v>
      </c>
      <c r="CV5" s="162">
        <f t="shared" si="32"/>
        <v>0</v>
      </c>
      <c r="CW5" s="162">
        <f t="shared" si="33"/>
        <v>0</v>
      </c>
      <c r="CX5" s="162">
        <f t="shared" si="34"/>
        <v>0</v>
      </c>
      <c r="CY5" s="162">
        <f t="shared" si="35"/>
        <v>0</v>
      </c>
      <c r="CZ5" s="162">
        <f t="shared" si="36"/>
        <v>0</v>
      </c>
      <c r="DA5" s="162">
        <f t="shared" si="37"/>
        <v>0</v>
      </c>
      <c r="DB5" s="163">
        <f aca="true" t="shared" si="43" ref="DB5:DB23">SUM(CI5:DA5)</f>
        <v>0</v>
      </c>
      <c r="DC5" s="1">
        <f t="shared" si="38"/>
        <v>0</v>
      </c>
      <c r="DD5" s="153">
        <f aca="true" t="shared" si="44" ref="DD5:DD23">POWER((AB5/1000),4)+AC5</f>
        <v>15</v>
      </c>
      <c r="DE5" s="153">
        <f aca="true" t="shared" si="45" ref="DE5:DE23">IF(AC5=5,IF(DH5&gt;=DB5,AB5/2000,1),1)</f>
        <v>1</v>
      </c>
      <c r="DF5" s="153">
        <f t="shared" si="39"/>
        <v>0</v>
      </c>
      <c r="DG5" s="153">
        <f aca="true" t="shared" si="46" ref="DG5:DG23">IF(DF5&gt;0,IF((ROUND((DD5*DE5)+DF5,0))&lt;5,5,(ROUND((DD5*DE5)+DF5,0))),IF(IF((ROUND((DD5*DE5)+DF5,0))&lt;5,5,(ROUND((DD5*DE5)+DF5,0)))&gt;30,30,IF((ROUND((DD5*DE5)+DF5,0))&lt;5,5,(ROUND((DD5*DE5)+DF5,0)))))</f>
        <v>15</v>
      </c>
      <c r="DH5" s="1">
        <f t="shared" si="40"/>
        <v>0</v>
      </c>
      <c r="DI5" s="5">
        <f aca="true" t="shared" si="47" ref="DI5:DI22">IF(AB5=0,0,IF(DC5=0,AB5,ROUND(AB5+800*(DH5-DB5)/(DG5+DC5),0)))</f>
        <v>0</v>
      </c>
    </row>
    <row r="6" spans="2:113" ht="19.5" customHeight="1">
      <c r="B6" s="46">
        <f>IF(AND(D5=D6,E5=E6,F5=F6),"","2.")</f>
      </c>
      <c r="C6" s="7" t="str">
        <f aca="true" t="shared" si="48" ref="C6:C24">VLOOKUP($T6,$I$5:$M$24,2,FALSE)</f>
        <v>Spieler 2</v>
      </c>
      <c r="D6" s="48">
        <f aca="true" t="shared" si="49" ref="D6:D24">VLOOKUP($T6,$I$5:$M$24,3,FALSE)</f>
        <v>0</v>
      </c>
      <c r="E6" s="54">
        <f aca="true" t="shared" si="50" ref="E6:E24">VLOOKUP($T6,$I$5:$M$24,4,FALSE)</f>
      </c>
      <c r="F6" s="62" t="str">
        <f aca="true" t="shared" si="51" ref="F6:F24">VLOOKUP($T6,$I$5:$M$24,5,FALSE)</f>
        <v> </v>
      </c>
      <c r="I6" s="46">
        <f aca="true" t="shared" si="52" ref="I6:I24">RANK(N6,$N$5:$N$24,0)</f>
        <v>2</v>
      </c>
      <c r="J6" s="47" t="str">
        <f>'Kreuztabelle 20'!C32</f>
        <v>Spieler 2</v>
      </c>
      <c r="K6" s="48">
        <f>IF(COUNT('Kreuztabelle 20'!D32:'Kreuztabelle 20'!W32)&gt;0,COUNT('Kreuztabelle 20'!D32:'Kreuztabelle 20'!W32),0)</f>
        <v>0</v>
      </c>
      <c r="L6" s="54">
        <f>'Kreuztabelle 20'!Y32</f>
      </c>
      <c r="M6" s="62" t="str">
        <f>'Kreuztabelle 20'!X32</f>
        <v> </v>
      </c>
      <c r="N6">
        <f>IF(M6=" ",0.19,M6*100000+L6*1000-K6+0.19)</f>
        <v>0.19</v>
      </c>
      <c r="O6" s="64">
        <f t="shared" si="41"/>
        <v>20</v>
      </c>
      <c r="P6" s="64" t="e">
        <f>IF(AND(D5=D6,E5=E6,F5=F6),P5,2)</f>
        <v>#VALUE!</v>
      </c>
      <c r="Q6" s="65" t="e">
        <f aca="true" t="shared" si="53" ref="Q6:Q21">IF(O6=1,P6&amp;".",P6&amp;".- "&amp;(P6+O6-1)&amp;".")</f>
        <v>#VALUE!</v>
      </c>
      <c r="R6" s="65" t="str">
        <f t="shared" si="42"/>
        <v> </v>
      </c>
      <c r="T6" s="1">
        <v>2</v>
      </c>
      <c r="AA6" t="str">
        <f>Eingabe!C8</f>
        <v>Spieler 3</v>
      </c>
      <c r="AB6" s="1">
        <f>IF(Eingabe!E8=" ",0,Eingabe!E8)</f>
        <v>0</v>
      </c>
      <c r="AC6" s="1">
        <f>IF(Eingabe!D8=5,5,IF(Eingabe!D8=10,10,15))</f>
        <v>15</v>
      </c>
      <c r="AD6" s="160">
        <f>$AB$21</f>
        <v>0</v>
      </c>
      <c r="AE6" s="154">
        <f>$AB$19</f>
        <v>0</v>
      </c>
      <c r="AF6" s="154">
        <f>$AB$17</f>
        <v>0</v>
      </c>
      <c r="AG6" s="154">
        <f>$AB$15</f>
        <v>0</v>
      </c>
      <c r="AH6" s="154">
        <f>$AB$13</f>
        <v>0</v>
      </c>
      <c r="AI6" s="154">
        <f>$AB$11</f>
        <v>0</v>
      </c>
      <c r="AJ6" s="154">
        <f>$AB$9</f>
        <v>0</v>
      </c>
      <c r="AK6" s="154">
        <f>$AB$7</f>
        <v>0</v>
      </c>
      <c r="AL6" s="154">
        <f>$AB$5</f>
        <v>0</v>
      </c>
      <c r="AM6" s="154">
        <f>$AB$22</f>
        <v>0</v>
      </c>
      <c r="AN6" s="154">
        <f>$AB$20</f>
        <v>0</v>
      </c>
      <c r="AO6" s="154">
        <f>$AB$18</f>
        <v>0</v>
      </c>
      <c r="AP6" s="154">
        <f>$AB$16</f>
        <v>0</v>
      </c>
      <c r="AQ6" s="154">
        <f>$AB$14</f>
        <v>0</v>
      </c>
      <c r="AR6" s="154">
        <f>$AB$12</f>
        <v>0</v>
      </c>
      <c r="AS6" s="154">
        <f>$AB$10</f>
        <v>0</v>
      </c>
      <c r="AT6" s="154">
        <f>$AB$8</f>
        <v>0</v>
      </c>
      <c r="AU6" s="154">
        <f>$AB$23</f>
        <v>0</v>
      </c>
      <c r="AV6" s="154">
        <f>$AB$4</f>
        <v>0</v>
      </c>
      <c r="AW6" s="160" t="str">
        <f>'20 Spieler'!$I$14</f>
        <v> </v>
      </c>
      <c r="AX6" s="3" t="str">
        <f>'20 Spieler'!$Q$15</f>
        <v> </v>
      </c>
      <c r="AY6" s="3" t="str">
        <f>'20 Spieler'!$Y$16</f>
        <v> </v>
      </c>
      <c r="AZ6" s="3" t="str">
        <f>'20 Spieler'!$AG$17</f>
        <v> </v>
      </c>
      <c r="BA6" s="3" t="str">
        <f>'20 Spieler'!$AO$18</f>
        <v> </v>
      </c>
      <c r="BB6" s="3" t="str">
        <f>'20 Spieler'!$I$33</f>
        <v> </v>
      </c>
      <c r="BC6" s="3" t="str">
        <f>'20 Spieler'!$Q$34</f>
        <v> </v>
      </c>
      <c r="BD6" s="3" t="str">
        <f>'20 Spieler'!$Y$35</f>
        <v> </v>
      </c>
      <c r="BE6" s="3" t="str">
        <f>'20 Spieler'!$AE$35</f>
        <v> </v>
      </c>
      <c r="BF6" s="3" t="str">
        <f>'20 Spieler'!$AM$34</f>
        <v> </v>
      </c>
      <c r="BG6" s="3" t="str">
        <f>'20 Spieler'!$G$47</f>
        <v> </v>
      </c>
      <c r="BH6" s="3" t="str">
        <f>'20 Spieler'!$O$46</f>
        <v> </v>
      </c>
      <c r="BI6" s="3" t="str">
        <f>'20 Spieler'!$W$45</f>
        <v> </v>
      </c>
      <c r="BJ6" s="3" t="str">
        <f>'20 Spieler'!$AE$44</f>
        <v> </v>
      </c>
      <c r="BK6" s="3" t="str">
        <f>'20 Spieler'!$AM$43</f>
        <v> </v>
      </c>
      <c r="BL6" s="3" t="str">
        <f>'20 Spieler'!$G$56</f>
        <v> </v>
      </c>
      <c r="BM6" s="3" t="str">
        <f>'20 Spieler'!$O$55</f>
        <v> </v>
      </c>
      <c r="BN6" s="3" t="str">
        <f>'20 Spieler'!$W$54</f>
        <v> </v>
      </c>
      <c r="BO6" s="3" t="str">
        <f>'20 Spieler'!$AG$55</f>
        <v> </v>
      </c>
      <c r="BP6" s="160" t="str">
        <f t="shared" si="0"/>
        <v> </v>
      </c>
      <c r="BQ6" s="3" t="str">
        <f t="shared" si="1"/>
        <v> </v>
      </c>
      <c r="BR6" s="3" t="str">
        <f t="shared" si="2"/>
        <v> </v>
      </c>
      <c r="BS6" s="3" t="str">
        <f t="shared" si="3"/>
        <v> </v>
      </c>
      <c r="BT6" s="3" t="str">
        <f t="shared" si="4"/>
        <v> </v>
      </c>
      <c r="BU6" s="3" t="str">
        <f t="shared" si="5"/>
        <v> </v>
      </c>
      <c r="BV6" s="3" t="str">
        <f t="shared" si="6"/>
        <v> </v>
      </c>
      <c r="BW6" s="3" t="str">
        <f t="shared" si="7"/>
        <v> </v>
      </c>
      <c r="BX6" s="3" t="str">
        <f t="shared" si="8"/>
        <v> </v>
      </c>
      <c r="BY6" s="3" t="str">
        <f t="shared" si="9"/>
        <v> </v>
      </c>
      <c r="BZ6" s="3" t="str">
        <f t="shared" si="10"/>
        <v> </v>
      </c>
      <c r="CA6" s="3" t="str">
        <f t="shared" si="11"/>
        <v> </v>
      </c>
      <c r="CB6" s="3" t="str">
        <f t="shared" si="12"/>
        <v> </v>
      </c>
      <c r="CC6" s="3" t="str">
        <f t="shared" si="13"/>
        <v> </v>
      </c>
      <c r="CD6" s="3" t="str">
        <f t="shared" si="14"/>
        <v> </v>
      </c>
      <c r="CE6" s="3" t="str">
        <f t="shared" si="15"/>
        <v> </v>
      </c>
      <c r="CF6" s="3" t="str">
        <f t="shared" si="16"/>
        <v> </v>
      </c>
      <c r="CG6" s="3" t="str">
        <f t="shared" si="17"/>
        <v> </v>
      </c>
      <c r="CH6" s="3" t="str">
        <f t="shared" si="18"/>
        <v> </v>
      </c>
      <c r="CI6" s="161">
        <f t="shared" si="19"/>
        <v>0</v>
      </c>
      <c r="CJ6" s="162">
        <f t="shared" si="20"/>
        <v>0</v>
      </c>
      <c r="CK6" s="162">
        <f t="shared" si="21"/>
        <v>0</v>
      </c>
      <c r="CL6" s="162">
        <f t="shared" si="22"/>
        <v>0</v>
      </c>
      <c r="CM6" s="162">
        <f t="shared" si="23"/>
        <v>0</v>
      </c>
      <c r="CN6" s="162">
        <f t="shared" si="24"/>
        <v>0</v>
      </c>
      <c r="CO6" s="162">
        <f t="shared" si="25"/>
        <v>0</v>
      </c>
      <c r="CP6" s="162">
        <f t="shared" si="26"/>
        <v>0</v>
      </c>
      <c r="CQ6" s="162">
        <f t="shared" si="27"/>
        <v>0</v>
      </c>
      <c r="CR6" s="162">
        <f t="shared" si="28"/>
        <v>0</v>
      </c>
      <c r="CS6" s="162">
        <f t="shared" si="29"/>
        <v>0</v>
      </c>
      <c r="CT6" s="162">
        <f t="shared" si="30"/>
        <v>0</v>
      </c>
      <c r="CU6" s="162">
        <f t="shared" si="31"/>
        <v>0</v>
      </c>
      <c r="CV6" s="162">
        <f t="shared" si="32"/>
        <v>0</v>
      </c>
      <c r="CW6" s="162">
        <f t="shared" si="33"/>
        <v>0</v>
      </c>
      <c r="CX6" s="162">
        <f t="shared" si="34"/>
        <v>0</v>
      </c>
      <c r="CY6" s="162">
        <f t="shared" si="35"/>
        <v>0</v>
      </c>
      <c r="CZ6" s="162">
        <f t="shared" si="36"/>
        <v>0</v>
      </c>
      <c r="DA6" s="162">
        <f t="shared" si="37"/>
        <v>0</v>
      </c>
      <c r="DB6" s="163">
        <f t="shared" si="43"/>
        <v>0</v>
      </c>
      <c r="DC6" s="1">
        <f t="shared" si="38"/>
        <v>0</v>
      </c>
      <c r="DD6" s="153">
        <f t="shared" si="44"/>
        <v>15</v>
      </c>
      <c r="DE6" s="153">
        <f t="shared" si="45"/>
        <v>1</v>
      </c>
      <c r="DF6" s="153">
        <f t="shared" si="39"/>
        <v>0</v>
      </c>
      <c r="DG6" s="153">
        <f t="shared" si="46"/>
        <v>15</v>
      </c>
      <c r="DH6" s="1">
        <f t="shared" si="40"/>
        <v>0</v>
      </c>
      <c r="DI6" s="5">
        <f t="shared" si="47"/>
        <v>0</v>
      </c>
    </row>
    <row r="7" spans="2:113" ht="19.5" customHeight="1">
      <c r="B7" s="46">
        <f>IF(AND(D6=D7,E6=E7,F6=F7),"","3.")</f>
      </c>
      <c r="C7" s="7" t="str">
        <f t="shared" si="48"/>
        <v>Spieler 3</v>
      </c>
      <c r="D7" s="48">
        <f t="shared" si="49"/>
        <v>0</v>
      </c>
      <c r="E7" s="54">
        <f t="shared" si="50"/>
      </c>
      <c r="F7" s="62" t="str">
        <f t="shared" si="51"/>
        <v> </v>
      </c>
      <c r="I7" s="46">
        <f t="shared" si="52"/>
        <v>3</v>
      </c>
      <c r="J7" s="47" t="str">
        <f>'Kreuztabelle 20'!C33</f>
        <v>Spieler 3</v>
      </c>
      <c r="K7" s="48">
        <f>IF(COUNT('Kreuztabelle 20'!D33:'Kreuztabelle 20'!W33)&gt;0,COUNT('Kreuztabelle 20'!D33:'Kreuztabelle 20'!W33),0)</f>
        <v>0</v>
      </c>
      <c r="L7" s="54">
        <f>'Kreuztabelle 20'!Y33</f>
      </c>
      <c r="M7" s="62" t="str">
        <f>'Kreuztabelle 20'!X33</f>
        <v> </v>
      </c>
      <c r="N7">
        <f>IF(M7=" ",0.18,M7*100000+L7*1000-K7+0.18)</f>
        <v>0.18</v>
      </c>
      <c r="O7" s="64">
        <f t="shared" si="41"/>
        <v>20</v>
      </c>
      <c r="P7" s="64" t="e">
        <f>IF(AND(D6=D7,E6=E7,F6=F7),P6,3)</f>
        <v>#VALUE!</v>
      </c>
      <c r="Q7" s="65" t="e">
        <f t="shared" si="53"/>
        <v>#VALUE!</v>
      </c>
      <c r="R7" s="65" t="str">
        <f t="shared" si="42"/>
        <v> </v>
      </c>
      <c r="T7" s="1">
        <v>3</v>
      </c>
      <c r="AA7" t="str">
        <f>Eingabe!C9</f>
        <v>Spieler 4</v>
      </c>
      <c r="AB7" s="1">
        <f>IF(Eingabe!E9=" ",0,Eingabe!E9)</f>
        <v>0</v>
      </c>
      <c r="AC7" s="1">
        <f>IF(Eingabe!D9=5,5,IF(Eingabe!D9=10,10,15))</f>
        <v>15</v>
      </c>
      <c r="AD7" s="160">
        <f>$AB$20</f>
        <v>0</v>
      </c>
      <c r="AE7" s="154">
        <f>$AB$18</f>
        <v>0</v>
      </c>
      <c r="AF7" s="154">
        <f>$AB$16</f>
        <v>0</v>
      </c>
      <c r="AG7" s="154">
        <f>$AB$14</f>
        <v>0</v>
      </c>
      <c r="AH7" s="154">
        <f>$AB$12</f>
        <v>0</v>
      </c>
      <c r="AI7" s="154">
        <f>$AB$10</f>
        <v>0</v>
      </c>
      <c r="AJ7" s="154">
        <f>$AB$8</f>
        <v>0</v>
      </c>
      <c r="AK7" s="154">
        <f>$AB$6</f>
        <v>0</v>
      </c>
      <c r="AL7" s="154">
        <f>$AB$4</f>
        <v>0</v>
      </c>
      <c r="AM7" s="154">
        <f>$AB$21</f>
        <v>0</v>
      </c>
      <c r="AN7" s="154">
        <f>$AB$19</f>
        <v>0</v>
      </c>
      <c r="AO7" s="154">
        <f>$AB$17</f>
        <v>0</v>
      </c>
      <c r="AP7" s="154">
        <f>$AB$15</f>
        <v>0</v>
      </c>
      <c r="AQ7" s="154">
        <f>$AB$13</f>
        <v>0</v>
      </c>
      <c r="AR7" s="154">
        <f>$AB$11</f>
        <v>0</v>
      </c>
      <c r="AS7" s="154">
        <f>$AB$9</f>
        <v>0</v>
      </c>
      <c r="AT7" s="154">
        <f>$AB$23</f>
        <v>0</v>
      </c>
      <c r="AU7" s="154">
        <f>$AB$5</f>
        <v>0</v>
      </c>
      <c r="AV7" s="154">
        <f>$AB$22</f>
        <v>0</v>
      </c>
      <c r="AW7" s="160" t="str">
        <f>'20 Spieler'!$I$15</f>
        <v> </v>
      </c>
      <c r="AX7" s="3" t="str">
        <f>'20 Spieler'!$Q$16</f>
        <v> </v>
      </c>
      <c r="AY7" s="3" t="str">
        <f>'20 Spieler'!$Y$17</f>
        <v> </v>
      </c>
      <c r="AZ7" s="3" t="str">
        <f>'20 Spieler'!$AG$18</f>
        <v> </v>
      </c>
      <c r="BA7" s="3" t="str">
        <f>'20 Spieler'!$AO$19</f>
        <v> </v>
      </c>
      <c r="BB7" s="3" t="str">
        <f>'20 Spieler'!$I$34</f>
        <v> </v>
      </c>
      <c r="BC7" s="3" t="str">
        <f>'20 Spieler'!$Q$35</f>
        <v> </v>
      </c>
      <c r="BD7" s="3" t="str">
        <f>'20 Spieler'!$W$35</f>
        <v> </v>
      </c>
      <c r="BE7" s="3" t="str">
        <f>'20 Spieler'!$AE$34</f>
        <v> </v>
      </c>
      <c r="BF7" s="3" t="str">
        <f>'20 Spieler'!$AM$33</f>
        <v> </v>
      </c>
      <c r="BG7" s="3" t="str">
        <f>'20 Spieler'!$G$46</f>
        <v> </v>
      </c>
      <c r="BH7" s="3" t="str">
        <f>'20 Spieler'!$O$45</f>
        <v> </v>
      </c>
      <c r="BI7" s="3" t="str">
        <f>'20 Spieler'!$W$44</f>
        <v> </v>
      </c>
      <c r="BJ7" s="3" t="str">
        <f>'20 Spieler'!$AE$43</f>
        <v> </v>
      </c>
      <c r="BK7" s="3" t="str">
        <f>'20 Spieler'!$AM$42</f>
        <v> </v>
      </c>
      <c r="BL7" s="3" t="str">
        <f>'20 Spieler'!$G$55</f>
        <v> </v>
      </c>
      <c r="BM7" s="3" t="str">
        <f>'20 Spieler'!$O$54</f>
        <v> </v>
      </c>
      <c r="BN7" s="3" t="str">
        <f>'20 Spieler'!$Y$55</f>
        <v> </v>
      </c>
      <c r="BO7" s="3" t="str">
        <f>'20 Spieler'!$AG$56</f>
        <v> </v>
      </c>
      <c r="BP7" s="160" t="str">
        <f t="shared" si="0"/>
        <v> </v>
      </c>
      <c r="BQ7" s="3" t="str">
        <f t="shared" si="1"/>
        <v> </v>
      </c>
      <c r="BR7" s="3" t="str">
        <f t="shared" si="2"/>
        <v> </v>
      </c>
      <c r="BS7" s="3" t="str">
        <f t="shared" si="3"/>
        <v> </v>
      </c>
      <c r="BT7" s="3" t="str">
        <f t="shared" si="4"/>
        <v> </v>
      </c>
      <c r="BU7" s="3" t="str">
        <f t="shared" si="5"/>
        <v> </v>
      </c>
      <c r="BV7" s="3" t="str">
        <f t="shared" si="6"/>
        <v> </v>
      </c>
      <c r="BW7" s="3" t="str">
        <f t="shared" si="7"/>
        <v> </v>
      </c>
      <c r="BX7" s="3" t="str">
        <f t="shared" si="8"/>
        <v> </v>
      </c>
      <c r="BY7" s="3" t="str">
        <f t="shared" si="9"/>
        <v> </v>
      </c>
      <c r="BZ7" s="3" t="str">
        <f t="shared" si="10"/>
        <v> </v>
      </c>
      <c r="CA7" s="3" t="str">
        <f t="shared" si="11"/>
        <v> </v>
      </c>
      <c r="CB7" s="3" t="str">
        <f t="shared" si="12"/>
        <v> </v>
      </c>
      <c r="CC7" s="3" t="str">
        <f t="shared" si="13"/>
        <v> </v>
      </c>
      <c r="CD7" s="3" t="str">
        <f t="shared" si="14"/>
        <v> </v>
      </c>
      <c r="CE7" s="3" t="str">
        <f t="shared" si="15"/>
        <v> </v>
      </c>
      <c r="CF7" s="3" t="str">
        <f t="shared" si="16"/>
        <v> </v>
      </c>
      <c r="CG7" s="3" t="str">
        <f t="shared" si="17"/>
        <v> </v>
      </c>
      <c r="CH7" s="3" t="str">
        <f t="shared" si="18"/>
        <v> </v>
      </c>
      <c r="CI7" s="161">
        <f t="shared" si="19"/>
        <v>0</v>
      </c>
      <c r="CJ7" s="162">
        <f t="shared" si="20"/>
        <v>0</v>
      </c>
      <c r="CK7" s="162">
        <f t="shared" si="21"/>
        <v>0</v>
      </c>
      <c r="CL7" s="162">
        <f t="shared" si="22"/>
        <v>0</v>
      </c>
      <c r="CM7" s="162">
        <f t="shared" si="23"/>
        <v>0</v>
      </c>
      <c r="CN7" s="162">
        <f t="shared" si="24"/>
        <v>0</v>
      </c>
      <c r="CO7" s="162">
        <f t="shared" si="25"/>
        <v>0</v>
      </c>
      <c r="CP7" s="162">
        <f t="shared" si="26"/>
        <v>0</v>
      </c>
      <c r="CQ7" s="162">
        <f t="shared" si="27"/>
        <v>0</v>
      </c>
      <c r="CR7" s="162">
        <f t="shared" si="28"/>
        <v>0</v>
      </c>
      <c r="CS7" s="162">
        <f t="shared" si="29"/>
        <v>0</v>
      </c>
      <c r="CT7" s="162">
        <f t="shared" si="30"/>
        <v>0</v>
      </c>
      <c r="CU7" s="162">
        <f t="shared" si="31"/>
        <v>0</v>
      </c>
      <c r="CV7" s="162">
        <f t="shared" si="32"/>
        <v>0</v>
      </c>
      <c r="CW7" s="162">
        <f t="shared" si="33"/>
        <v>0</v>
      </c>
      <c r="CX7" s="162">
        <f t="shared" si="34"/>
        <v>0</v>
      </c>
      <c r="CY7" s="162">
        <f t="shared" si="35"/>
        <v>0</v>
      </c>
      <c r="CZ7" s="162">
        <f t="shared" si="36"/>
        <v>0</v>
      </c>
      <c r="DA7" s="162">
        <f t="shared" si="37"/>
        <v>0</v>
      </c>
      <c r="DB7" s="163">
        <f t="shared" si="43"/>
        <v>0</v>
      </c>
      <c r="DC7" s="1">
        <f t="shared" si="38"/>
        <v>0</v>
      </c>
      <c r="DD7" s="153">
        <f t="shared" si="44"/>
        <v>15</v>
      </c>
      <c r="DE7" s="153">
        <f t="shared" si="45"/>
        <v>1</v>
      </c>
      <c r="DF7" s="153">
        <f t="shared" si="39"/>
        <v>0</v>
      </c>
      <c r="DG7" s="153">
        <f t="shared" si="46"/>
        <v>15</v>
      </c>
      <c r="DH7" s="1">
        <f t="shared" si="40"/>
        <v>0</v>
      </c>
      <c r="DI7" s="5">
        <f t="shared" si="47"/>
        <v>0</v>
      </c>
    </row>
    <row r="8" spans="2:113" ht="19.5" customHeight="1">
      <c r="B8" s="46">
        <f>IF(AND(D7=D8,E7=E8,F7=F8),"","4.")</f>
      </c>
      <c r="C8" s="7" t="str">
        <f t="shared" si="48"/>
        <v>Spieler 4</v>
      </c>
      <c r="D8" s="48">
        <f t="shared" si="49"/>
        <v>0</v>
      </c>
      <c r="E8" s="54">
        <f t="shared" si="50"/>
      </c>
      <c r="F8" s="62" t="str">
        <f t="shared" si="51"/>
        <v> </v>
      </c>
      <c r="I8" s="46">
        <f t="shared" si="52"/>
        <v>4</v>
      </c>
      <c r="J8" s="47" t="str">
        <f>'Kreuztabelle 20'!C34</f>
        <v>Spieler 4</v>
      </c>
      <c r="K8" s="48">
        <f>IF(COUNT('Kreuztabelle 20'!D34:'Kreuztabelle 20'!W34)&gt;0,COUNT('Kreuztabelle 20'!D34:'Kreuztabelle 20'!W34),0)</f>
        <v>0</v>
      </c>
      <c r="L8" s="54">
        <f>'Kreuztabelle 20'!Y34</f>
      </c>
      <c r="M8" s="62" t="str">
        <f>'Kreuztabelle 20'!X34</f>
        <v> </v>
      </c>
      <c r="N8">
        <f>IF(M8=" ",0.17,M8*100000+L8*1000-K8+0.176)</f>
        <v>0.17</v>
      </c>
      <c r="O8" s="64">
        <f t="shared" si="41"/>
        <v>20</v>
      </c>
      <c r="P8" s="64" t="e">
        <f>IF(AND(D7=D8,E7=E8,F7=F8),P7,4)</f>
        <v>#VALUE!</v>
      </c>
      <c r="Q8" s="65" t="e">
        <f t="shared" si="53"/>
        <v>#VALUE!</v>
      </c>
      <c r="R8" s="65" t="str">
        <f t="shared" si="42"/>
        <v> </v>
      </c>
      <c r="T8" s="1">
        <v>4</v>
      </c>
      <c r="AA8" t="str">
        <f>Eingabe!C10</f>
        <v>Spieler 5</v>
      </c>
      <c r="AB8" s="1">
        <f>IF(Eingabe!E10=" ",0,Eingabe!E10)</f>
        <v>0</v>
      </c>
      <c r="AC8" s="1">
        <f>IF(Eingabe!D10=5,5,IF(Eingabe!D10=10,10,15))</f>
        <v>15</v>
      </c>
      <c r="AD8" s="160">
        <f>$AB$19</f>
        <v>0</v>
      </c>
      <c r="AE8" s="154">
        <f>$AB$17</f>
        <v>0</v>
      </c>
      <c r="AF8" s="154">
        <f>$AB$15</f>
        <v>0</v>
      </c>
      <c r="AG8" s="154">
        <f>$AB$13</f>
        <v>0</v>
      </c>
      <c r="AH8" s="154">
        <f>$AB$11</f>
        <v>0</v>
      </c>
      <c r="AI8" s="154">
        <f>$AB$9</f>
        <v>0</v>
      </c>
      <c r="AJ8" s="154">
        <f>$AB$7</f>
        <v>0</v>
      </c>
      <c r="AK8" s="154">
        <f>$AB$5</f>
        <v>0</v>
      </c>
      <c r="AL8" s="154">
        <f>$AB$22</f>
        <v>0</v>
      </c>
      <c r="AM8" s="154">
        <f>$AB$20</f>
        <v>0</v>
      </c>
      <c r="AN8" s="154">
        <f>$AB$18</f>
        <v>0</v>
      </c>
      <c r="AO8" s="154">
        <f>$AB$16</f>
        <v>0</v>
      </c>
      <c r="AP8" s="154">
        <f>$AB$14</f>
        <v>0</v>
      </c>
      <c r="AQ8" s="154">
        <f>$AB$12</f>
        <v>0</v>
      </c>
      <c r="AR8" s="154">
        <f>$AB$10</f>
        <v>0</v>
      </c>
      <c r="AS8" s="154">
        <f>$AB$23</f>
        <v>0</v>
      </c>
      <c r="AT8" s="154">
        <f>$AB$6</f>
        <v>0</v>
      </c>
      <c r="AU8" s="154">
        <f>$AB$4</f>
        <v>0</v>
      </c>
      <c r="AV8" s="154">
        <f>$AB$21</f>
        <v>0</v>
      </c>
      <c r="AW8" s="160" t="str">
        <f>'20 Spieler'!$I$16</f>
        <v> </v>
      </c>
      <c r="AX8" s="3" t="str">
        <f>'20 Spieler'!$Q$17</f>
        <v> </v>
      </c>
      <c r="AY8" s="3" t="str">
        <f>'20 Spieler'!$Y$18</f>
        <v> </v>
      </c>
      <c r="AZ8" s="3" t="str">
        <f>'20 Spieler'!$AG$19</f>
        <v> </v>
      </c>
      <c r="BA8" s="3" t="str">
        <f>'20 Spieler'!$AO$20</f>
        <v> </v>
      </c>
      <c r="BB8" s="3" t="str">
        <f>'20 Spieler'!$I$35</f>
        <v> </v>
      </c>
      <c r="BC8" s="3" t="str">
        <f>'20 Spieler'!$O$35</f>
        <v> </v>
      </c>
      <c r="BD8" s="3" t="str">
        <f>'20 Spieler'!$W$34</f>
        <v> </v>
      </c>
      <c r="BE8" s="3" t="str">
        <f>'20 Spieler'!$AE$33</f>
        <v> </v>
      </c>
      <c r="BF8" s="3" t="str">
        <f>'20 Spieler'!$AM$32</f>
        <v> </v>
      </c>
      <c r="BG8" s="3" t="str">
        <f>'20 Spieler'!$G$45</f>
        <v> </v>
      </c>
      <c r="BH8" s="3" t="str">
        <f>'20 Spieler'!$O$44</f>
        <v> </v>
      </c>
      <c r="BI8" s="3" t="str">
        <f>'20 Spieler'!$W$43</f>
        <v> </v>
      </c>
      <c r="BJ8" s="3" t="str">
        <f>'20 Spieler'!$AE$42</f>
        <v> </v>
      </c>
      <c r="BK8" s="3" t="str">
        <f>'20 Spieler'!$AM$41</f>
        <v> </v>
      </c>
      <c r="BL8" s="3" t="str">
        <f>'20 Spieler'!$G$54</f>
        <v> </v>
      </c>
      <c r="BM8" s="3" t="str">
        <f>'20 Spieler'!$Q$55</f>
        <v> </v>
      </c>
      <c r="BN8" s="3" t="str">
        <f>'20 Spieler'!$Y$56</f>
        <v> </v>
      </c>
      <c r="BO8" s="3" t="str">
        <f>'20 Spieler'!$AG$57</f>
        <v> </v>
      </c>
      <c r="BP8" s="160" t="str">
        <f t="shared" si="0"/>
        <v> </v>
      </c>
      <c r="BQ8" s="3" t="str">
        <f t="shared" si="1"/>
        <v> </v>
      </c>
      <c r="BR8" s="3" t="str">
        <f t="shared" si="2"/>
        <v> </v>
      </c>
      <c r="BS8" s="3" t="str">
        <f t="shared" si="3"/>
        <v> </v>
      </c>
      <c r="BT8" s="3" t="str">
        <f t="shared" si="4"/>
        <v> </v>
      </c>
      <c r="BU8" s="3" t="str">
        <f t="shared" si="5"/>
        <v> </v>
      </c>
      <c r="BV8" s="3" t="str">
        <f t="shared" si="6"/>
        <v> </v>
      </c>
      <c r="BW8" s="3" t="str">
        <f t="shared" si="7"/>
        <v> </v>
      </c>
      <c r="BX8" s="3" t="str">
        <f t="shared" si="8"/>
        <v> </v>
      </c>
      <c r="BY8" s="3" t="str">
        <f t="shared" si="9"/>
        <v> </v>
      </c>
      <c r="BZ8" s="3" t="str">
        <f t="shared" si="10"/>
        <v> </v>
      </c>
      <c r="CA8" s="3" t="str">
        <f t="shared" si="11"/>
        <v> </v>
      </c>
      <c r="CB8" s="3" t="str">
        <f t="shared" si="12"/>
        <v> </v>
      </c>
      <c r="CC8" s="3" t="str">
        <f t="shared" si="13"/>
        <v> </v>
      </c>
      <c r="CD8" s="3" t="str">
        <f t="shared" si="14"/>
        <v> </v>
      </c>
      <c r="CE8" s="3" t="str">
        <f t="shared" si="15"/>
        <v> </v>
      </c>
      <c r="CF8" s="3" t="str">
        <f t="shared" si="16"/>
        <v> </v>
      </c>
      <c r="CG8" s="3" t="str">
        <f t="shared" si="17"/>
        <v> </v>
      </c>
      <c r="CH8" s="3" t="str">
        <f t="shared" si="18"/>
        <v> </v>
      </c>
      <c r="CI8" s="161">
        <f t="shared" si="19"/>
        <v>0</v>
      </c>
      <c r="CJ8" s="162">
        <f t="shared" si="20"/>
        <v>0</v>
      </c>
      <c r="CK8" s="162">
        <f t="shared" si="21"/>
        <v>0</v>
      </c>
      <c r="CL8" s="162">
        <f t="shared" si="22"/>
        <v>0</v>
      </c>
      <c r="CM8" s="162">
        <f t="shared" si="23"/>
        <v>0</v>
      </c>
      <c r="CN8" s="162">
        <f t="shared" si="24"/>
        <v>0</v>
      </c>
      <c r="CO8" s="162">
        <f t="shared" si="25"/>
        <v>0</v>
      </c>
      <c r="CP8" s="162">
        <f t="shared" si="26"/>
        <v>0</v>
      </c>
      <c r="CQ8" s="162">
        <f t="shared" si="27"/>
        <v>0</v>
      </c>
      <c r="CR8" s="162">
        <f t="shared" si="28"/>
        <v>0</v>
      </c>
      <c r="CS8" s="162">
        <f t="shared" si="29"/>
        <v>0</v>
      </c>
      <c r="CT8" s="162">
        <f t="shared" si="30"/>
        <v>0</v>
      </c>
      <c r="CU8" s="162">
        <f t="shared" si="31"/>
        <v>0</v>
      </c>
      <c r="CV8" s="162">
        <f t="shared" si="32"/>
        <v>0</v>
      </c>
      <c r="CW8" s="162">
        <f t="shared" si="33"/>
        <v>0</v>
      </c>
      <c r="CX8" s="162">
        <f t="shared" si="34"/>
        <v>0</v>
      </c>
      <c r="CY8" s="162">
        <f t="shared" si="35"/>
        <v>0</v>
      </c>
      <c r="CZ8" s="162">
        <f t="shared" si="36"/>
        <v>0</v>
      </c>
      <c r="DA8" s="162">
        <f t="shared" si="37"/>
        <v>0</v>
      </c>
      <c r="DB8" s="163">
        <f t="shared" si="43"/>
        <v>0</v>
      </c>
      <c r="DC8" s="1">
        <f t="shared" si="38"/>
        <v>0</v>
      </c>
      <c r="DD8" s="153">
        <f t="shared" si="44"/>
        <v>15</v>
      </c>
      <c r="DE8" s="153">
        <f t="shared" si="45"/>
        <v>1</v>
      </c>
      <c r="DF8" s="153">
        <f t="shared" si="39"/>
        <v>0</v>
      </c>
      <c r="DG8" s="153">
        <f t="shared" si="46"/>
        <v>15</v>
      </c>
      <c r="DH8" s="1">
        <f t="shared" si="40"/>
        <v>0</v>
      </c>
      <c r="DI8" s="5">
        <f t="shared" si="47"/>
        <v>0</v>
      </c>
    </row>
    <row r="9" spans="2:113" ht="19.5" customHeight="1">
      <c r="B9" s="46">
        <f>IF(AND(D8=D9,E8=E9,F8=F9),"","5.")</f>
      </c>
      <c r="C9" s="7" t="str">
        <f t="shared" si="48"/>
        <v>Spieler 5</v>
      </c>
      <c r="D9" s="48">
        <f t="shared" si="49"/>
        <v>0</v>
      </c>
      <c r="E9" s="54">
        <f t="shared" si="50"/>
      </c>
      <c r="F9" s="62" t="str">
        <f t="shared" si="51"/>
        <v> </v>
      </c>
      <c r="I9" s="46">
        <f t="shared" si="52"/>
        <v>5</v>
      </c>
      <c r="J9" s="47" t="str">
        <f>'Kreuztabelle 20'!C35</f>
        <v>Spieler 5</v>
      </c>
      <c r="K9" s="48">
        <f>IF(COUNT('Kreuztabelle 20'!D35:'Kreuztabelle 20'!W35)&gt;0,COUNT('Kreuztabelle 20'!D35:'Kreuztabelle 20'!W35),0)</f>
        <v>0</v>
      </c>
      <c r="L9" s="54">
        <f>'Kreuztabelle 20'!Y35</f>
      </c>
      <c r="M9" s="62" t="str">
        <f>'Kreuztabelle 20'!X35</f>
        <v> </v>
      </c>
      <c r="N9">
        <f>IF(M9=" ",0.16,M9*100000+L9*1000-K9+0.16)</f>
        <v>0.16</v>
      </c>
      <c r="O9" s="64">
        <f t="shared" si="41"/>
        <v>20</v>
      </c>
      <c r="P9" s="64" t="e">
        <f>IF(AND(D8=D9,E8=E9,F8=F9),P8,5)</f>
        <v>#VALUE!</v>
      </c>
      <c r="Q9" s="65" t="e">
        <f t="shared" si="53"/>
        <v>#VALUE!</v>
      </c>
      <c r="R9" s="65" t="str">
        <f t="shared" si="42"/>
        <v> </v>
      </c>
      <c r="T9" s="1">
        <v>5</v>
      </c>
      <c r="AA9" t="str">
        <f>Eingabe!C11</f>
        <v>Spieler 6</v>
      </c>
      <c r="AB9" s="1">
        <f>IF(Eingabe!E11=" ",0,Eingabe!E11)</f>
        <v>0</v>
      </c>
      <c r="AC9" s="1">
        <f>IF(Eingabe!D11=5,5,IF(Eingabe!D11=10,10,15))</f>
        <v>15</v>
      </c>
      <c r="AD9" s="160">
        <f>$AB$18</f>
        <v>0</v>
      </c>
      <c r="AE9" s="154">
        <f>$AB$16</f>
        <v>0</v>
      </c>
      <c r="AF9" s="154">
        <f>$AB$14</f>
        <v>0</v>
      </c>
      <c r="AG9" s="154">
        <f>$AB$12</f>
        <v>0</v>
      </c>
      <c r="AH9" s="154">
        <f>$AB$10</f>
        <v>0</v>
      </c>
      <c r="AI9" s="154">
        <f>$AB$8</f>
        <v>0</v>
      </c>
      <c r="AJ9" s="154">
        <f>$AB$6</f>
        <v>0</v>
      </c>
      <c r="AK9" s="154">
        <f>$AB$4</f>
        <v>0</v>
      </c>
      <c r="AL9" s="154">
        <f>$AB$21</f>
        <v>0</v>
      </c>
      <c r="AM9" s="154">
        <f>$AB$19</f>
        <v>0</v>
      </c>
      <c r="AN9" s="154">
        <f>$AB$17</f>
        <v>0</v>
      </c>
      <c r="AO9" s="154">
        <f>$AB$15</f>
        <v>0</v>
      </c>
      <c r="AP9" s="154">
        <f>$AB$13</f>
        <v>0</v>
      </c>
      <c r="AQ9" s="154">
        <f>$AB$11</f>
        <v>0</v>
      </c>
      <c r="AR9" s="154">
        <f>$AB$23</f>
        <v>0</v>
      </c>
      <c r="AS9" s="154">
        <f>$AB$7</f>
        <v>0</v>
      </c>
      <c r="AT9" s="154">
        <f>$AB$5</f>
        <v>0</v>
      </c>
      <c r="AU9" s="154">
        <f>$AB$22</f>
        <v>0</v>
      </c>
      <c r="AV9" s="154">
        <f>$AB$20</f>
        <v>0</v>
      </c>
      <c r="AW9" s="160" t="str">
        <f>'20 Spieler'!$I$17</f>
        <v> </v>
      </c>
      <c r="AX9" s="3" t="str">
        <f>'20 Spieler'!$Q$18</f>
        <v> </v>
      </c>
      <c r="AY9" s="3" t="str">
        <f>'20 Spieler'!$Y$19</f>
        <v> </v>
      </c>
      <c r="AZ9" s="3" t="str">
        <f>'20 Spieler'!$AG$20</f>
        <v> </v>
      </c>
      <c r="BA9" s="3" t="str">
        <f>'20 Spieler'!$AO$21</f>
        <v> </v>
      </c>
      <c r="BB9" s="3" t="str">
        <f>'20 Spieler'!$G$35</f>
        <v> </v>
      </c>
      <c r="BC9" s="3" t="str">
        <f>'20 Spieler'!$O$34</f>
        <v> </v>
      </c>
      <c r="BD9" s="3" t="str">
        <f>'20 Spieler'!$W$33</f>
        <v> </v>
      </c>
      <c r="BE9" s="3" t="str">
        <f>'20 Spieler'!$AE$32</f>
        <v> </v>
      </c>
      <c r="BF9" s="3" t="str">
        <f>'20 Spieler'!$AM$31</f>
        <v> </v>
      </c>
      <c r="BG9" s="3" t="str">
        <f>'20 Spieler'!$G$44</f>
        <v> </v>
      </c>
      <c r="BH9" s="3" t="str">
        <f>'20 Spieler'!$O$43</f>
        <v> </v>
      </c>
      <c r="BI9" s="3" t="str">
        <f>'20 Spieler'!$W$42</f>
        <v> </v>
      </c>
      <c r="BJ9" s="3" t="str">
        <f>'20 Spieler'!$AE$41</f>
        <v> </v>
      </c>
      <c r="BK9" s="3" t="str">
        <f>'20 Spieler'!$AM$40</f>
        <v> </v>
      </c>
      <c r="BL9" s="3" t="str">
        <f>'20 Spieler'!$I$55</f>
        <v> </v>
      </c>
      <c r="BM9" s="3" t="str">
        <f>'20 Spieler'!$Q$56</f>
        <v> </v>
      </c>
      <c r="BN9" s="3" t="str">
        <f>'20 Spieler'!$Y$57</f>
        <v> </v>
      </c>
      <c r="BO9" s="3" t="str">
        <f>'20 Spieler'!$AG$58</f>
        <v> </v>
      </c>
      <c r="BP9" s="160" t="str">
        <f t="shared" si="0"/>
        <v> </v>
      </c>
      <c r="BQ9" s="3" t="str">
        <f t="shared" si="1"/>
        <v> </v>
      </c>
      <c r="BR9" s="3" t="str">
        <f t="shared" si="2"/>
        <v> </v>
      </c>
      <c r="BS9" s="3" t="str">
        <f t="shared" si="3"/>
        <v> </v>
      </c>
      <c r="BT9" s="3" t="str">
        <f t="shared" si="4"/>
        <v> </v>
      </c>
      <c r="BU9" s="3" t="str">
        <f t="shared" si="5"/>
        <v> </v>
      </c>
      <c r="BV9" s="3" t="str">
        <f t="shared" si="6"/>
        <v> </v>
      </c>
      <c r="BW9" s="3" t="str">
        <f t="shared" si="7"/>
        <v> </v>
      </c>
      <c r="BX9" s="3" t="str">
        <f t="shared" si="8"/>
        <v> </v>
      </c>
      <c r="BY9" s="3" t="str">
        <f t="shared" si="9"/>
        <v> </v>
      </c>
      <c r="BZ9" s="3" t="str">
        <f t="shared" si="10"/>
        <v> </v>
      </c>
      <c r="CA9" s="3" t="str">
        <f t="shared" si="11"/>
        <v> </v>
      </c>
      <c r="CB9" s="3" t="str">
        <f t="shared" si="12"/>
        <v> </v>
      </c>
      <c r="CC9" s="3" t="str">
        <f t="shared" si="13"/>
        <v> </v>
      </c>
      <c r="CD9" s="3" t="str">
        <f t="shared" si="14"/>
        <v> </v>
      </c>
      <c r="CE9" s="3" t="str">
        <f t="shared" si="15"/>
        <v> </v>
      </c>
      <c r="CF9" s="3" t="str">
        <f t="shared" si="16"/>
        <v> </v>
      </c>
      <c r="CG9" s="3" t="str">
        <f t="shared" si="17"/>
        <v> </v>
      </c>
      <c r="CH9" s="3" t="str">
        <f t="shared" si="18"/>
        <v> </v>
      </c>
      <c r="CI9" s="161">
        <f t="shared" si="19"/>
        <v>0</v>
      </c>
      <c r="CJ9" s="162">
        <f t="shared" si="20"/>
        <v>0</v>
      </c>
      <c r="CK9" s="162">
        <f t="shared" si="21"/>
        <v>0</v>
      </c>
      <c r="CL9" s="162">
        <f t="shared" si="22"/>
        <v>0</v>
      </c>
      <c r="CM9" s="162">
        <f t="shared" si="23"/>
        <v>0</v>
      </c>
      <c r="CN9" s="162">
        <f t="shared" si="24"/>
        <v>0</v>
      </c>
      <c r="CO9" s="162">
        <f t="shared" si="25"/>
        <v>0</v>
      </c>
      <c r="CP9" s="162">
        <f t="shared" si="26"/>
        <v>0</v>
      </c>
      <c r="CQ9" s="162">
        <f t="shared" si="27"/>
        <v>0</v>
      </c>
      <c r="CR9" s="162">
        <f t="shared" si="28"/>
        <v>0</v>
      </c>
      <c r="CS9" s="162">
        <f t="shared" si="29"/>
        <v>0</v>
      </c>
      <c r="CT9" s="162">
        <f t="shared" si="30"/>
        <v>0</v>
      </c>
      <c r="CU9" s="162">
        <f t="shared" si="31"/>
        <v>0</v>
      </c>
      <c r="CV9" s="162">
        <f t="shared" si="32"/>
        <v>0</v>
      </c>
      <c r="CW9" s="162">
        <f t="shared" si="33"/>
        <v>0</v>
      </c>
      <c r="CX9" s="162">
        <f t="shared" si="34"/>
        <v>0</v>
      </c>
      <c r="CY9" s="162">
        <f t="shared" si="35"/>
        <v>0</v>
      </c>
      <c r="CZ9" s="162">
        <f t="shared" si="36"/>
        <v>0</v>
      </c>
      <c r="DA9" s="162">
        <f t="shared" si="37"/>
        <v>0</v>
      </c>
      <c r="DB9" s="163">
        <f t="shared" si="43"/>
        <v>0</v>
      </c>
      <c r="DC9" s="1">
        <f t="shared" si="38"/>
        <v>0</v>
      </c>
      <c r="DD9" s="153">
        <f t="shared" si="44"/>
        <v>15</v>
      </c>
      <c r="DE9" s="153">
        <f t="shared" si="45"/>
        <v>1</v>
      </c>
      <c r="DF9" s="153">
        <f t="shared" si="39"/>
        <v>0</v>
      </c>
      <c r="DG9" s="153">
        <f t="shared" si="46"/>
        <v>15</v>
      </c>
      <c r="DH9" s="1">
        <f t="shared" si="40"/>
        <v>0</v>
      </c>
      <c r="DI9" s="5">
        <f t="shared" si="47"/>
        <v>0</v>
      </c>
    </row>
    <row r="10" spans="2:113" ht="19.5" customHeight="1">
      <c r="B10" s="46">
        <f>IF(AND(D9=D10,E9=E10,F9=F10),"","6.")</f>
      </c>
      <c r="C10" s="7" t="str">
        <f t="shared" si="48"/>
        <v>Spieler 6</v>
      </c>
      <c r="D10" s="48">
        <f t="shared" si="49"/>
        <v>0</v>
      </c>
      <c r="E10" s="54">
        <f t="shared" si="50"/>
      </c>
      <c r="F10" s="62" t="str">
        <f t="shared" si="51"/>
        <v> </v>
      </c>
      <c r="I10" s="46">
        <f t="shared" si="52"/>
        <v>6</v>
      </c>
      <c r="J10" s="47" t="str">
        <f>'Kreuztabelle 20'!C36</f>
        <v>Spieler 6</v>
      </c>
      <c r="K10" s="48">
        <f>IF(COUNT('Kreuztabelle 20'!D36:'Kreuztabelle 20'!W36)&gt;0,COUNT('Kreuztabelle 20'!D36:'Kreuztabelle 20'!W36),0)</f>
        <v>0</v>
      </c>
      <c r="L10" s="54">
        <f>'Kreuztabelle 20'!Y36</f>
      </c>
      <c r="M10" s="62" t="str">
        <f>'Kreuztabelle 20'!X36</f>
        <v> </v>
      </c>
      <c r="N10">
        <f>IF(M10=" ",0.15,M10*100000+L10*1000-K10+0.15)</f>
        <v>0.15</v>
      </c>
      <c r="O10" s="64">
        <f t="shared" si="41"/>
        <v>20</v>
      </c>
      <c r="P10" s="64" t="e">
        <f>IF(AND(D9=D10,E9=E10,F9=F10),P9,6)</f>
        <v>#VALUE!</v>
      </c>
      <c r="Q10" s="65" t="e">
        <f t="shared" si="53"/>
        <v>#VALUE!</v>
      </c>
      <c r="R10" s="65" t="str">
        <f t="shared" si="42"/>
        <v> </v>
      </c>
      <c r="T10" s="1">
        <v>6</v>
      </c>
      <c r="AA10" t="str">
        <f>Eingabe!C12</f>
        <v>Spieler 7</v>
      </c>
      <c r="AB10" s="1">
        <f>IF(Eingabe!E12=" ",0,Eingabe!E12)</f>
        <v>0</v>
      </c>
      <c r="AC10" s="1">
        <f>IF(Eingabe!D12=5,5,IF(Eingabe!D12=10,10,15))</f>
        <v>15</v>
      </c>
      <c r="AD10" s="160">
        <f>$AB$17</f>
        <v>0</v>
      </c>
      <c r="AE10" s="154">
        <f>$AB$15</f>
        <v>0</v>
      </c>
      <c r="AF10" s="154">
        <f>$AB$13</f>
        <v>0</v>
      </c>
      <c r="AG10" s="154">
        <f>$AB$11</f>
        <v>0</v>
      </c>
      <c r="AH10" s="154">
        <f>$AB$9</f>
        <v>0</v>
      </c>
      <c r="AI10" s="154">
        <f>$AB$7</f>
        <v>0</v>
      </c>
      <c r="AJ10" s="154">
        <f>$AB$5</f>
        <v>0</v>
      </c>
      <c r="AK10" s="154">
        <f>$AB$22</f>
        <v>0</v>
      </c>
      <c r="AL10" s="154">
        <f>$AB$20</f>
        <v>0</v>
      </c>
      <c r="AM10" s="154">
        <f>$AB$18</f>
        <v>0</v>
      </c>
      <c r="AN10" s="154">
        <f>$AB$16</f>
        <v>0</v>
      </c>
      <c r="AO10" s="154">
        <f>$AB$14</f>
        <v>0</v>
      </c>
      <c r="AP10" s="154">
        <f>$AB$12</f>
        <v>0</v>
      </c>
      <c r="AQ10" s="154">
        <f>$AB$23</f>
        <v>0</v>
      </c>
      <c r="AR10" s="154">
        <f>$AB$8</f>
        <v>0</v>
      </c>
      <c r="AS10" s="154">
        <f>$AB$6</f>
        <v>0</v>
      </c>
      <c r="AT10" s="154">
        <f>$AB$4</f>
        <v>0</v>
      </c>
      <c r="AU10" s="154">
        <f>$AB$21</f>
        <v>0</v>
      </c>
      <c r="AV10" s="154">
        <f>$AB$19</f>
        <v>0</v>
      </c>
      <c r="AW10" s="160" t="str">
        <f>'20 Spieler'!$I$18</f>
        <v> </v>
      </c>
      <c r="AX10" s="3" t="str">
        <f>'20 Spieler'!$Q$19</f>
        <v> </v>
      </c>
      <c r="AY10" s="3" t="str">
        <f>'20 Spieler'!$Y$20</f>
        <v> </v>
      </c>
      <c r="AZ10" s="3" t="str">
        <f>'20 Spieler'!$AG$21</f>
        <v> </v>
      </c>
      <c r="BA10" s="3" t="str">
        <f>'20 Spieler'!$AM$21</f>
        <v> </v>
      </c>
      <c r="BB10" s="3" t="str">
        <f>'20 Spieler'!$G$34</f>
        <v> </v>
      </c>
      <c r="BC10" s="3" t="str">
        <f>'20 Spieler'!$O$33</f>
        <v> </v>
      </c>
      <c r="BD10" s="3" t="str">
        <f>'20 Spieler'!$W$32</f>
        <v> </v>
      </c>
      <c r="BE10" s="3" t="str">
        <f>'20 Spieler'!$AE$31</f>
        <v> </v>
      </c>
      <c r="BF10" s="3" t="str">
        <f>'20 Spieler'!$AM$30</f>
        <v> </v>
      </c>
      <c r="BG10" s="3" t="str">
        <f>'20 Spieler'!$G$43</f>
        <v> </v>
      </c>
      <c r="BH10" s="3" t="str">
        <f>'20 Spieler'!$O$42</f>
        <v> </v>
      </c>
      <c r="BI10" s="3" t="str">
        <f>'20 Spieler'!$W$41</f>
        <v> </v>
      </c>
      <c r="BJ10" s="3" t="str">
        <f>'20 Spieler'!$AE$40</f>
        <v> </v>
      </c>
      <c r="BK10" s="3" t="str">
        <f>'20 Spieler'!$AO$41</f>
        <v> </v>
      </c>
      <c r="BL10" s="3" t="str">
        <f>'20 Spieler'!$I$56</f>
        <v> </v>
      </c>
      <c r="BM10" s="3" t="str">
        <f>'20 Spieler'!$Q$57</f>
        <v> </v>
      </c>
      <c r="BN10" s="3" t="str">
        <f>'20 Spieler'!$Y$58</f>
        <v> </v>
      </c>
      <c r="BO10" s="3" t="str">
        <f>'20 Spieler'!$AG$59</f>
        <v> </v>
      </c>
      <c r="BP10" s="160" t="str">
        <f t="shared" si="0"/>
        <v> </v>
      </c>
      <c r="BQ10" s="3" t="str">
        <f t="shared" si="1"/>
        <v> </v>
      </c>
      <c r="BR10" s="3" t="str">
        <f t="shared" si="2"/>
        <v> </v>
      </c>
      <c r="BS10" s="3" t="str">
        <f t="shared" si="3"/>
        <v> </v>
      </c>
      <c r="BT10" s="3" t="str">
        <f t="shared" si="4"/>
        <v> </v>
      </c>
      <c r="BU10" s="3" t="str">
        <f t="shared" si="5"/>
        <v> </v>
      </c>
      <c r="BV10" s="3" t="str">
        <f t="shared" si="6"/>
        <v> </v>
      </c>
      <c r="BW10" s="3" t="str">
        <f t="shared" si="7"/>
        <v> </v>
      </c>
      <c r="BX10" s="3" t="str">
        <f t="shared" si="8"/>
        <v> </v>
      </c>
      <c r="BY10" s="3" t="str">
        <f t="shared" si="9"/>
        <v> </v>
      </c>
      <c r="BZ10" s="3" t="str">
        <f t="shared" si="10"/>
        <v> </v>
      </c>
      <c r="CA10" s="3" t="str">
        <f t="shared" si="11"/>
        <v> </v>
      </c>
      <c r="CB10" s="3" t="str">
        <f t="shared" si="12"/>
        <v> </v>
      </c>
      <c r="CC10" s="3" t="str">
        <f t="shared" si="13"/>
        <v> </v>
      </c>
      <c r="CD10" s="3" t="str">
        <f t="shared" si="14"/>
        <v> </v>
      </c>
      <c r="CE10" s="3" t="str">
        <f t="shared" si="15"/>
        <v> </v>
      </c>
      <c r="CF10" s="3" t="str">
        <f t="shared" si="16"/>
        <v> </v>
      </c>
      <c r="CG10" s="3" t="str">
        <f t="shared" si="17"/>
        <v> </v>
      </c>
      <c r="CH10" s="3" t="str">
        <f t="shared" si="18"/>
        <v> </v>
      </c>
      <c r="CI10" s="161">
        <f t="shared" si="19"/>
        <v>0</v>
      </c>
      <c r="CJ10" s="162">
        <f t="shared" si="20"/>
        <v>0</v>
      </c>
      <c r="CK10" s="162">
        <f t="shared" si="21"/>
        <v>0</v>
      </c>
      <c r="CL10" s="162">
        <f t="shared" si="22"/>
        <v>0</v>
      </c>
      <c r="CM10" s="162">
        <f t="shared" si="23"/>
        <v>0</v>
      </c>
      <c r="CN10" s="162">
        <f t="shared" si="24"/>
        <v>0</v>
      </c>
      <c r="CO10" s="162">
        <f t="shared" si="25"/>
        <v>0</v>
      </c>
      <c r="CP10" s="162">
        <f t="shared" si="26"/>
        <v>0</v>
      </c>
      <c r="CQ10" s="162">
        <f t="shared" si="27"/>
        <v>0</v>
      </c>
      <c r="CR10" s="162">
        <f t="shared" si="28"/>
        <v>0</v>
      </c>
      <c r="CS10" s="162">
        <f t="shared" si="29"/>
        <v>0</v>
      </c>
      <c r="CT10" s="162">
        <f t="shared" si="30"/>
        <v>0</v>
      </c>
      <c r="CU10" s="162">
        <f t="shared" si="31"/>
        <v>0</v>
      </c>
      <c r="CV10" s="162">
        <f t="shared" si="32"/>
        <v>0</v>
      </c>
      <c r="CW10" s="162">
        <f t="shared" si="33"/>
        <v>0</v>
      </c>
      <c r="CX10" s="162">
        <f t="shared" si="34"/>
        <v>0</v>
      </c>
      <c r="CY10" s="162">
        <f t="shared" si="35"/>
        <v>0</v>
      </c>
      <c r="CZ10" s="162">
        <f t="shared" si="36"/>
        <v>0</v>
      </c>
      <c r="DA10" s="162">
        <f t="shared" si="37"/>
        <v>0</v>
      </c>
      <c r="DB10" s="163">
        <f t="shared" si="43"/>
        <v>0</v>
      </c>
      <c r="DC10" s="1">
        <f t="shared" si="38"/>
        <v>0</v>
      </c>
      <c r="DD10" s="153">
        <f t="shared" si="44"/>
        <v>15</v>
      </c>
      <c r="DE10" s="153">
        <f t="shared" si="45"/>
        <v>1</v>
      </c>
      <c r="DF10" s="153">
        <f t="shared" si="39"/>
        <v>0</v>
      </c>
      <c r="DG10" s="153">
        <f t="shared" si="46"/>
        <v>15</v>
      </c>
      <c r="DH10" s="1">
        <f t="shared" si="40"/>
        <v>0</v>
      </c>
      <c r="DI10" s="5">
        <f t="shared" si="47"/>
        <v>0</v>
      </c>
    </row>
    <row r="11" spans="2:113" ht="19.5" customHeight="1">
      <c r="B11" s="46">
        <f>IF(AND(D10=D11,E10=E11,F10=F11),"","7.")</f>
      </c>
      <c r="C11" s="7" t="str">
        <f t="shared" si="48"/>
        <v>Spieler 7</v>
      </c>
      <c r="D11" s="48">
        <f t="shared" si="49"/>
        <v>0</v>
      </c>
      <c r="E11" s="54">
        <f t="shared" si="50"/>
      </c>
      <c r="F11" s="62" t="str">
        <f t="shared" si="51"/>
        <v> </v>
      </c>
      <c r="I11" s="46">
        <f t="shared" si="52"/>
        <v>7</v>
      </c>
      <c r="J11" s="47" t="str">
        <f>'Kreuztabelle 20'!C37</f>
        <v>Spieler 7</v>
      </c>
      <c r="K11" s="48">
        <f>IF(COUNT('Kreuztabelle 20'!D37:'Kreuztabelle 20'!W37)&gt;0,COUNT('Kreuztabelle 20'!D37:'Kreuztabelle 20'!W37),0)</f>
        <v>0</v>
      </c>
      <c r="L11" s="54">
        <f>'Kreuztabelle 20'!Y37</f>
      </c>
      <c r="M11" s="62" t="str">
        <f>'Kreuztabelle 20'!X37</f>
        <v> </v>
      </c>
      <c r="N11">
        <f>IF(M11=" ",0.14,M11*100000+L11*1000-K11+0.14)</f>
        <v>0.14</v>
      </c>
      <c r="O11" s="64">
        <f t="shared" si="41"/>
        <v>20</v>
      </c>
      <c r="P11" s="64" t="e">
        <f>IF(AND(D10=D11,E10=E11,F10=F11),P10,7)</f>
        <v>#VALUE!</v>
      </c>
      <c r="Q11" s="65" t="e">
        <f t="shared" si="53"/>
        <v>#VALUE!</v>
      </c>
      <c r="R11" s="65" t="str">
        <f t="shared" si="42"/>
        <v> </v>
      </c>
      <c r="T11" s="1">
        <v>7</v>
      </c>
      <c r="AA11" t="str">
        <f>Eingabe!C13</f>
        <v>Spieler 8</v>
      </c>
      <c r="AB11" s="1">
        <f>IF(Eingabe!E13=" ",0,Eingabe!E13)</f>
        <v>0</v>
      </c>
      <c r="AC11" s="1">
        <f>IF(Eingabe!D13=5,5,IF(Eingabe!D13=10,10,15))</f>
        <v>15</v>
      </c>
      <c r="AD11" s="160">
        <f>$AB$16</f>
        <v>0</v>
      </c>
      <c r="AE11" s="154">
        <f>$AB$14</f>
        <v>0</v>
      </c>
      <c r="AF11" s="154">
        <f>$AB$12</f>
        <v>0</v>
      </c>
      <c r="AG11" s="154">
        <f>$AB$10</f>
        <v>0</v>
      </c>
      <c r="AH11" s="154">
        <f>$AB$8</f>
        <v>0</v>
      </c>
      <c r="AI11" s="154">
        <f>$AB$6</f>
        <v>0</v>
      </c>
      <c r="AJ11" s="154">
        <f>$AB$4</f>
        <v>0</v>
      </c>
      <c r="AK11" s="154">
        <f>$AB$21</f>
        <v>0</v>
      </c>
      <c r="AL11" s="154">
        <f>$AB$19</f>
        <v>0</v>
      </c>
      <c r="AM11" s="154">
        <f>$AB$17</f>
        <v>0</v>
      </c>
      <c r="AN11" s="154">
        <f>$AB$15</f>
        <v>0</v>
      </c>
      <c r="AO11" s="154">
        <f>$AB$13</f>
        <v>0</v>
      </c>
      <c r="AP11" s="154">
        <f>$AB$23</f>
        <v>0</v>
      </c>
      <c r="AQ11" s="154">
        <f>$AB$9</f>
        <v>0</v>
      </c>
      <c r="AR11" s="154">
        <f>$AB$7</f>
        <v>0</v>
      </c>
      <c r="AS11" s="154">
        <f>$AB$5</f>
        <v>0</v>
      </c>
      <c r="AT11" s="154">
        <f>$AB$22</f>
        <v>0</v>
      </c>
      <c r="AU11" s="154">
        <f>$AB$20</f>
        <v>0</v>
      </c>
      <c r="AV11" s="154">
        <f>$AB$18</f>
        <v>0</v>
      </c>
      <c r="AW11" s="160" t="str">
        <f>'20 Spieler'!$I$19</f>
        <v> </v>
      </c>
      <c r="AX11" s="3" t="str">
        <f>'20 Spieler'!$Q$20</f>
        <v> </v>
      </c>
      <c r="AY11" s="3" t="str">
        <f>'20 Spieler'!$Y$21</f>
        <v> </v>
      </c>
      <c r="AZ11" s="3" t="str">
        <f>'20 Spieler'!$AE$21</f>
        <v> </v>
      </c>
      <c r="BA11" s="3" t="str">
        <f>'20 Spieler'!$AM$20</f>
        <v> </v>
      </c>
      <c r="BB11" s="3" t="str">
        <f>'20 Spieler'!$G$33</f>
        <v> </v>
      </c>
      <c r="BC11" s="3" t="str">
        <f>'20 Spieler'!$O$32</f>
        <v> </v>
      </c>
      <c r="BD11" s="3" t="str">
        <f>'20 Spieler'!$W$31</f>
        <v> </v>
      </c>
      <c r="BE11" s="3" t="str">
        <f>'20 Spieler'!$AE$30</f>
        <v> </v>
      </c>
      <c r="BF11" s="3" t="str">
        <f>'20 Spieler'!$AM$29</f>
        <v> </v>
      </c>
      <c r="BG11" s="3" t="str">
        <f>'20 Spieler'!$G$42</f>
        <v> </v>
      </c>
      <c r="BH11" s="3" t="str">
        <f>'20 Spieler'!$O$41</f>
        <v> </v>
      </c>
      <c r="BI11" s="3" t="str">
        <f>'20 Spieler'!$W$40</f>
        <v> </v>
      </c>
      <c r="BJ11" s="3" t="str">
        <f>'20 Spieler'!$AG$41</f>
        <v> </v>
      </c>
      <c r="BK11" s="3" t="str">
        <f>'20 Spieler'!$AO$42</f>
        <v> </v>
      </c>
      <c r="BL11" s="3" t="str">
        <f>'20 Spieler'!$I$57</f>
        <v> </v>
      </c>
      <c r="BM11" s="3" t="str">
        <f>'20 Spieler'!$Q$58</f>
        <v> </v>
      </c>
      <c r="BN11" s="3" t="str">
        <f>'20 Spieler'!$Y$59</f>
        <v> </v>
      </c>
      <c r="BO11" s="3" t="str">
        <f>'20 Spieler'!$AG$60</f>
        <v> </v>
      </c>
      <c r="BP11" s="160" t="str">
        <f t="shared" si="0"/>
        <v> </v>
      </c>
      <c r="BQ11" s="3" t="str">
        <f t="shared" si="1"/>
        <v> </v>
      </c>
      <c r="BR11" s="3" t="str">
        <f t="shared" si="2"/>
        <v> </v>
      </c>
      <c r="BS11" s="3" t="str">
        <f t="shared" si="3"/>
        <v> </v>
      </c>
      <c r="BT11" s="3" t="str">
        <f t="shared" si="4"/>
        <v> </v>
      </c>
      <c r="BU11" s="3" t="str">
        <f t="shared" si="5"/>
        <v> </v>
      </c>
      <c r="BV11" s="3" t="str">
        <f t="shared" si="6"/>
        <v> </v>
      </c>
      <c r="BW11" s="3" t="str">
        <f t="shared" si="7"/>
        <v> </v>
      </c>
      <c r="BX11" s="3" t="str">
        <f t="shared" si="8"/>
        <v> </v>
      </c>
      <c r="BY11" s="3" t="str">
        <f t="shared" si="9"/>
        <v> </v>
      </c>
      <c r="BZ11" s="3" t="str">
        <f t="shared" si="10"/>
        <v> </v>
      </c>
      <c r="CA11" s="3" t="str">
        <f t="shared" si="11"/>
        <v> </v>
      </c>
      <c r="CB11" s="3" t="str">
        <f t="shared" si="12"/>
        <v> </v>
      </c>
      <c r="CC11" s="3" t="str">
        <f t="shared" si="13"/>
        <v> </v>
      </c>
      <c r="CD11" s="3" t="str">
        <f t="shared" si="14"/>
        <v> </v>
      </c>
      <c r="CE11" s="3" t="str">
        <f t="shared" si="15"/>
        <v> </v>
      </c>
      <c r="CF11" s="3" t="str">
        <f t="shared" si="16"/>
        <v> </v>
      </c>
      <c r="CG11" s="3" t="str">
        <f t="shared" si="17"/>
        <v> </v>
      </c>
      <c r="CH11" s="3" t="str">
        <f t="shared" si="18"/>
        <v> </v>
      </c>
      <c r="CI11" s="161">
        <f t="shared" si="19"/>
        <v>0</v>
      </c>
      <c r="CJ11" s="162">
        <f t="shared" si="20"/>
        <v>0</v>
      </c>
      <c r="CK11" s="162">
        <f t="shared" si="21"/>
        <v>0</v>
      </c>
      <c r="CL11" s="162">
        <f t="shared" si="22"/>
        <v>0</v>
      </c>
      <c r="CM11" s="162">
        <f t="shared" si="23"/>
        <v>0</v>
      </c>
      <c r="CN11" s="162">
        <f t="shared" si="24"/>
        <v>0</v>
      </c>
      <c r="CO11" s="162">
        <f t="shared" si="25"/>
        <v>0</v>
      </c>
      <c r="CP11" s="162">
        <f t="shared" si="26"/>
        <v>0</v>
      </c>
      <c r="CQ11" s="162">
        <f t="shared" si="27"/>
        <v>0</v>
      </c>
      <c r="CR11" s="162">
        <f t="shared" si="28"/>
        <v>0</v>
      </c>
      <c r="CS11" s="162">
        <f t="shared" si="29"/>
        <v>0</v>
      </c>
      <c r="CT11" s="162">
        <f t="shared" si="30"/>
        <v>0</v>
      </c>
      <c r="CU11" s="162">
        <f t="shared" si="31"/>
        <v>0</v>
      </c>
      <c r="CV11" s="162">
        <f t="shared" si="32"/>
        <v>0</v>
      </c>
      <c r="CW11" s="162">
        <f t="shared" si="33"/>
        <v>0</v>
      </c>
      <c r="CX11" s="162">
        <f t="shared" si="34"/>
        <v>0</v>
      </c>
      <c r="CY11" s="162">
        <f t="shared" si="35"/>
        <v>0</v>
      </c>
      <c r="CZ11" s="162">
        <f t="shared" si="36"/>
        <v>0</v>
      </c>
      <c r="DA11" s="162">
        <f t="shared" si="37"/>
        <v>0</v>
      </c>
      <c r="DB11" s="163">
        <f t="shared" si="43"/>
        <v>0</v>
      </c>
      <c r="DC11" s="1">
        <f t="shared" si="38"/>
        <v>0</v>
      </c>
      <c r="DD11" s="153">
        <f t="shared" si="44"/>
        <v>15</v>
      </c>
      <c r="DE11" s="153">
        <f t="shared" si="45"/>
        <v>1</v>
      </c>
      <c r="DF11" s="153">
        <f t="shared" si="39"/>
        <v>0</v>
      </c>
      <c r="DG11" s="153">
        <f t="shared" si="46"/>
        <v>15</v>
      </c>
      <c r="DH11" s="1">
        <f t="shared" si="40"/>
        <v>0</v>
      </c>
      <c r="DI11" s="5">
        <f t="shared" si="47"/>
        <v>0</v>
      </c>
    </row>
    <row r="12" spans="2:113" ht="19.5" customHeight="1">
      <c r="B12" s="46">
        <f>IF(AND(D11=D12,E11=E12,F11=F12),"","8.")</f>
      </c>
      <c r="C12" s="7" t="str">
        <f t="shared" si="48"/>
        <v>Spieler 8</v>
      </c>
      <c r="D12" s="48">
        <f t="shared" si="49"/>
        <v>0</v>
      </c>
      <c r="E12" s="54">
        <f t="shared" si="50"/>
      </c>
      <c r="F12" s="62" t="str">
        <f t="shared" si="51"/>
        <v> </v>
      </c>
      <c r="I12" s="46">
        <f t="shared" si="52"/>
        <v>8</v>
      </c>
      <c r="J12" s="47" t="str">
        <f>'Kreuztabelle 20'!C38</f>
        <v>Spieler 8</v>
      </c>
      <c r="K12" s="48">
        <f>IF(COUNT('Kreuztabelle 20'!D38:'Kreuztabelle 20'!W38)&gt;0,COUNT('Kreuztabelle 20'!D38:'Kreuztabelle 20'!W38),0)</f>
        <v>0</v>
      </c>
      <c r="L12" s="54">
        <f>'Kreuztabelle 20'!Y38</f>
      </c>
      <c r="M12" s="62" t="str">
        <f>'Kreuztabelle 20'!X38</f>
        <v> </v>
      </c>
      <c r="N12">
        <f>IF(M12=" ",0.13,M12*100000+L12*1000-K12+0.13)</f>
        <v>0.13</v>
      </c>
      <c r="O12" s="64">
        <f t="shared" si="41"/>
        <v>20</v>
      </c>
      <c r="P12" s="64" t="e">
        <f>IF(AND(D11=D12,E11=E12,F11=F12),P11,8)</f>
        <v>#VALUE!</v>
      </c>
      <c r="Q12" s="65" t="e">
        <f t="shared" si="53"/>
        <v>#VALUE!</v>
      </c>
      <c r="R12" s="65" t="str">
        <f t="shared" si="42"/>
        <v> </v>
      </c>
      <c r="T12" s="1">
        <v>8</v>
      </c>
      <c r="AA12" t="str">
        <f>Eingabe!C14</f>
        <v>Spieler 9</v>
      </c>
      <c r="AB12" s="1">
        <f>IF(Eingabe!E14=" ",0,Eingabe!E14)</f>
        <v>0</v>
      </c>
      <c r="AC12" s="1">
        <f>IF(Eingabe!D14=5,5,IF(Eingabe!D14=10,10,15))</f>
        <v>15</v>
      </c>
      <c r="AD12" s="160">
        <f>$AB$15</f>
        <v>0</v>
      </c>
      <c r="AE12" s="154">
        <f>$AB$13</f>
        <v>0</v>
      </c>
      <c r="AF12" s="154">
        <f>$AB$11</f>
        <v>0</v>
      </c>
      <c r="AG12" s="154">
        <f>$AB$9</f>
        <v>0</v>
      </c>
      <c r="AH12" s="154">
        <f>$AB$7</f>
        <v>0</v>
      </c>
      <c r="AI12" s="154">
        <f>$AB$5</f>
        <v>0</v>
      </c>
      <c r="AJ12" s="154">
        <f>$AB$22</f>
        <v>0</v>
      </c>
      <c r="AK12" s="154">
        <f>$AB$20</f>
        <v>0</v>
      </c>
      <c r="AL12" s="154">
        <f>$AB$18</f>
        <v>0</v>
      </c>
      <c r="AM12" s="154">
        <f>$AB$16</f>
        <v>0</v>
      </c>
      <c r="AN12" s="154">
        <f>$AB$14</f>
        <v>0</v>
      </c>
      <c r="AO12" s="154">
        <f>$AB$23</f>
        <v>0</v>
      </c>
      <c r="AP12" s="154">
        <f>$AB$10</f>
        <v>0</v>
      </c>
      <c r="AQ12" s="154">
        <f>$AB$8</f>
        <v>0</v>
      </c>
      <c r="AR12" s="154">
        <f>$AB$6</f>
        <v>0</v>
      </c>
      <c r="AS12" s="154">
        <f>$AB$4</f>
        <v>0</v>
      </c>
      <c r="AT12" s="154">
        <f>$AB$21</f>
        <v>0</v>
      </c>
      <c r="AU12" s="154">
        <f>$AB$19</f>
        <v>0</v>
      </c>
      <c r="AV12" s="154">
        <f>$AB$17</f>
        <v>0</v>
      </c>
      <c r="AW12" s="160" t="str">
        <f>'20 Spieler'!$I$20</f>
        <v> </v>
      </c>
      <c r="AX12" s="3" t="str">
        <f>'20 Spieler'!$Q$21</f>
        <v> </v>
      </c>
      <c r="AY12" s="3" t="str">
        <f>'20 Spieler'!$W$21</f>
        <v> </v>
      </c>
      <c r="AZ12" s="3" t="str">
        <f>'20 Spieler'!$AE$20</f>
        <v> </v>
      </c>
      <c r="BA12" s="3" t="str">
        <f>'20 Spieler'!$AM$19</f>
        <v> </v>
      </c>
      <c r="BB12" s="3" t="str">
        <f>'20 Spieler'!$G$32</f>
        <v> </v>
      </c>
      <c r="BC12" s="3" t="str">
        <f>'20 Spieler'!$O$31</f>
        <v> </v>
      </c>
      <c r="BD12" s="3" t="str">
        <f>'20 Spieler'!$W$30</f>
        <v> </v>
      </c>
      <c r="BE12" s="3" t="str">
        <f>'20 Spieler'!$AE$29</f>
        <v> </v>
      </c>
      <c r="BF12" s="3" t="str">
        <f>'20 Spieler'!$AM$28</f>
        <v> </v>
      </c>
      <c r="BG12" s="3" t="str">
        <f>'20 Spieler'!$G$41</f>
        <v> </v>
      </c>
      <c r="BH12" s="3" t="str">
        <f>'20 Spieler'!$O$40</f>
        <v> </v>
      </c>
      <c r="BI12" s="3" t="str">
        <f>'20 Spieler'!$Y$41</f>
        <v> </v>
      </c>
      <c r="BJ12" s="3" t="str">
        <f>'20 Spieler'!$AG$42</f>
        <v> </v>
      </c>
      <c r="BK12" s="3" t="str">
        <f>'20 Spieler'!$AO$43</f>
        <v> </v>
      </c>
      <c r="BL12" s="3" t="str">
        <f>'20 Spieler'!$I$58</f>
        <v> </v>
      </c>
      <c r="BM12" s="3" t="str">
        <f>'20 Spieler'!$Q$59</f>
        <v> </v>
      </c>
      <c r="BN12" s="3" t="str">
        <f>'20 Spieler'!$Y$60</f>
        <v> </v>
      </c>
      <c r="BO12" s="3" t="str">
        <f>'20 Spieler'!$AG$61</f>
        <v> </v>
      </c>
      <c r="BP12" s="160" t="str">
        <f t="shared" si="0"/>
        <v> </v>
      </c>
      <c r="BQ12" s="3" t="str">
        <f t="shared" si="1"/>
        <v> </v>
      </c>
      <c r="BR12" s="3" t="str">
        <f t="shared" si="2"/>
        <v> </v>
      </c>
      <c r="BS12" s="3" t="str">
        <f t="shared" si="3"/>
        <v> </v>
      </c>
      <c r="BT12" s="3" t="str">
        <f t="shared" si="4"/>
        <v> </v>
      </c>
      <c r="BU12" s="3" t="str">
        <f t="shared" si="5"/>
        <v> </v>
      </c>
      <c r="BV12" s="3" t="str">
        <f t="shared" si="6"/>
        <v> </v>
      </c>
      <c r="BW12" s="3" t="str">
        <f t="shared" si="7"/>
        <v> </v>
      </c>
      <c r="BX12" s="3" t="str">
        <f t="shared" si="8"/>
        <v> </v>
      </c>
      <c r="BY12" s="3" t="str">
        <f t="shared" si="9"/>
        <v> </v>
      </c>
      <c r="BZ12" s="3" t="str">
        <f t="shared" si="10"/>
        <v> </v>
      </c>
      <c r="CA12" s="3" t="str">
        <f t="shared" si="11"/>
        <v> </v>
      </c>
      <c r="CB12" s="3" t="str">
        <f t="shared" si="12"/>
        <v> </v>
      </c>
      <c r="CC12" s="3" t="str">
        <f t="shared" si="13"/>
        <v> </v>
      </c>
      <c r="CD12" s="3" t="str">
        <f t="shared" si="14"/>
        <v> </v>
      </c>
      <c r="CE12" s="3" t="str">
        <f t="shared" si="15"/>
        <v> </v>
      </c>
      <c r="CF12" s="3" t="str">
        <f t="shared" si="16"/>
        <v> </v>
      </c>
      <c r="CG12" s="3" t="str">
        <f t="shared" si="17"/>
        <v> </v>
      </c>
      <c r="CH12" s="3" t="str">
        <f t="shared" si="18"/>
        <v> </v>
      </c>
      <c r="CI12" s="161">
        <f t="shared" si="19"/>
        <v>0</v>
      </c>
      <c r="CJ12" s="162">
        <f t="shared" si="20"/>
        <v>0</v>
      </c>
      <c r="CK12" s="162">
        <f t="shared" si="21"/>
        <v>0</v>
      </c>
      <c r="CL12" s="162">
        <f t="shared" si="22"/>
        <v>0</v>
      </c>
      <c r="CM12" s="162">
        <f t="shared" si="23"/>
        <v>0</v>
      </c>
      <c r="CN12" s="162">
        <f t="shared" si="24"/>
        <v>0</v>
      </c>
      <c r="CO12" s="162">
        <f t="shared" si="25"/>
        <v>0</v>
      </c>
      <c r="CP12" s="162">
        <f t="shared" si="26"/>
        <v>0</v>
      </c>
      <c r="CQ12" s="162">
        <f t="shared" si="27"/>
        <v>0</v>
      </c>
      <c r="CR12" s="162">
        <f t="shared" si="28"/>
        <v>0</v>
      </c>
      <c r="CS12" s="162">
        <f t="shared" si="29"/>
        <v>0</v>
      </c>
      <c r="CT12" s="162">
        <f t="shared" si="30"/>
        <v>0</v>
      </c>
      <c r="CU12" s="162">
        <f t="shared" si="31"/>
        <v>0</v>
      </c>
      <c r="CV12" s="162">
        <f t="shared" si="32"/>
        <v>0</v>
      </c>
      <c r="CW12" s="162">
        <f t="shared" si="33"/>
        <v>0</v>
      </c>
      <c r="CX12" s="162">
        <f t="shared" si="34"/>
        <v>0</v>
      </c>
      <c r="CY12" s="162">
        <f t="shared" si="35"/>
        <v>0</v>
      </c>
      <c r="CZ12" s="162">
        <f t="shared" si="36"/>
        <v>0</v>
      </c>
      <c r="DA12" s="162">
        <f t="shared" si="37"/>
        <v>0</v>
      </c>
      <c r="DB12" s="163">
        <f t="shared" si="43"/>
        <v>0</v>
      </c>
      <c r="DC12" s="1">
        <f t="shared" si="38"/>
        <v>0</v>
      </c>
      <c r="DD12" s="153">
        <f t="shared" si="44"/>
        <v>15</v>
      </c>
      <c r="DE12" s="153">
        <f t="shared" si="45"/>
        <v>1</v>
      </c>
      <c r="DF12" s="153">
        <f t="shared" si="39"/>
        <v>0</v>
      </c>
      <c r="DG12" s="153">
        <f t="shared" si="46"/>
        <v>15</v>
      </c>
      <c r="DH12" s="1">
        <f t="shared" si="40"/>
        <v>0</v>
      </c>
      <c r="DI12" s="5">
        <f t="shared" si="47"/>
        <v>0</v>
      </c>
    </row>
    <row r="13" spans="2:113" ht="19.5" customHeight="1">
      <c r="B13" s="46">
        <f>IF(AND(D12=D13,E12=E13,F12=F13),"","9.")</f>
      </c>
      <c r="C13" s="7" t="str">
        <f t="shared" si="48"/>
        <v>Spieler 9</v>
      </c>
      <c r="D13" s="48">
        <f t="shared" si="49"/>
        <v>0</v>
      </c>
      <c r="E13" s="54">
        <f t="shared" si="50"/>
      </c>
      <c r="F13" s="62" t="str">
        <f t="shared" si="51"/>
        <v> </v>
      </c>
      <c r="I13" s="46">
        <f t="shared" si="52"/>
        <v>9</v>
      </c>
      <c r="J13" s="47" t="str">
        <f>'Kreuztabelle 20'!C39</f>
        <v>Spieler 9</v>
      </c>
      <c r="K13" s="48">
        <f>IF(COUNT('Kreuztabelle 20'!D39:'Kreuztabelle 20'!W39)&gt;0,COUNT('Kreuztabelle 20'!D39:'Kreuztabelle 20'!W39),0)</f>
        <v>0</v>
      </c>
      <c r="L13" s="54">
        <f>'Kreuztabelle 20'!Y39</f>
      </c>
      <c r="M13" s="62" t="str">
        <f>'Kreuztabelle 20'!X39</f>
        <v> </v>
      </c>
      <c r="N13">
        <f>IF(M13=" ",0.12,M13*100000+L13*1000-K13+0.12)</f>
        <v>0.12</v>
      </c>
      <c r="O13" s="64">
        <f t="shared" si="41"/>
        <v>20</v>
      </c>
      <c r="P13" s="64" t="e">
        <f>IF(AND(D12=D13,E12=E13,F12=F13),P12,9)</f>
        <v>#VALUE!</v>
      </c>
      <c r="Q13" s="65" t="e">
        <f t="shared" si="53"/>
        <v>#VALUE!</v>
      </c>
      <c r="R13" s="65" t="str">
        <f t="shared" si="42"/>
        <v> </v>
      </c>
      <c r="T13" s="1">
        <v>9</v>
      </c>
      <c r="AA13" t="str">
        <f>Eingabe!C15</f>
        <v>Spieler 10</v>
      </c>
      <c r="AB13" s="1">
        <f>IF(Eingabe!E15=" ",0,Eingabe!E15)</f>
        <v>0</v>
      </c>
      <c r="AC13" s="1">
        <f>IF(Eingabe!D15=5,5,IF(Eingabe!D15=10,10,15))</f>
        <v>15</v>
      </c>
      <c r="AD13" s="160">
        <f>$AB$14</f>
        <v>0</v>
      </c>
      <c r="AE13" s="154">
        <f>$AB$12</f>
        <v>0</v>
      </c>
      <c r="AF13" s="154">
        <f>$AB$10</f>
        <v>0</v>
      </c>
      <c r="AG13" s="154">
        <f>$AB$8</f>
        <v>0</v>
      </c>
      <c r="AH13" s="154">
        <f>$AB$6</f>
        <v>0</v>
      </c>
      <c r="AI13" s="154">
        <f>$AB$4</f>
        <v>0</v>
      </c>
      <c r="AJ13" s="154">
        <f>$AB$21</f>
        <v>0</v>
      </c>
      <c r="AK13" s="154">
        <f>$AB$19</f>
        <v>0</v>
      </c>
      <c r="AL13" s="154">
        <f>$AB$17</f>
        <v>0</v>
      </c>
      <c r="AM13" s="154">
        <f>$AB$15</f>
        <v>0</v>
      </c>
      <c r="AN13" s="154">
        <f>$AB$23</f>
        <v>0</v>
      </c>
      <c r="AO13" s="154">
        <f>$AB$11</f>
        <v>0</v>
      </c>
      <c r="AP13" s="154">
        <f>$AB$9</f>
        <v>0</v>
      </c>
      <c r="AQ13" s="154">
        <f>$AB$7</f>
        <v>0</v>
      </c>
      <c r="AR13" s="154">
        <f>$AB$5</f>
        <v>0</v>
      </c>
      <c r="AS13" s="154">
        <f>$AB$22</f>
        <v>0</v>
      </c>
      <c r="AT13" s="154">
        <f>$AB$20</f>
        <v>0</v>
      </c>
      <c r="AU13" s="154">
        <f>$AB$18</f>
        <v>0</v>
      </c>
      <c r="AV13" s="154">
        <f>$AB$16</f>
        <v>0</v>
      </c>
      <c r="AW13" s="160" t="str">
        <f>'20 Spieler'!$I$21</f>
        <v> </v>
      </c>
      <c r="AX13" s="3" t="str">
        <f>'20 Spieler'!$O$21</f>
        <v> </v>
      </c>
      <c r="AY13" s="3" t="str">
        <f>'20 Spieler'!$W$20</f>
        <v> </v>
      </c>
      <c r="AZ13" s="3" t="str">
        <f>'20 Spieler'!$AE$19</f>
        <v> </v>
      </c>
      <c r="BA13" s="3" t="str">
        <f>'20 Spieler'!$AM$18</f>
        <v> </v>
      </c>
      <c r="BB13" s="3" t="str">
        <f>'20 Spieler'!$G$31</f>
        <v> </v>
      </c>
      <c r="BC13" s="3" t="str">
        <f>'20 Spieler'!$O$30</f>
        <v> </v>
      </c>
      <c r="BD13" s="3" t="str">
        <f>'20 Spieler'!$W$29</f>
        <v> </v>
      </c>
      <c r="BE13" s="3" t="str">
        <f>'20 Spieler'!$AE$28</f>
        <v> </v>
      </c>
      <c r="BF13" s="3" t="str">
        <f>'20 Spieler'!$AM$27</f>
        <v> </v>
      </c>
      <c r="BG13" s="3" t="str">
        <f>'20 Spieler'!$G$40</f>
        <v> </v>
      </c>
      <c r="BH13" s="3" t="str">
        <f>'20 Spieler'!$Q$41</f>
        <v> </v>
      </c>
      <c r="BI13" s="3" t="str">
        <f>'20 Spieler'!$Y$42</f>
        <v> </v>
      </c>
      <c r="BJ13" s="3" t="str">
        <f>'20 Spieler'!$AG$43</f>
        <v> </v>
      </c>
      <c r="BK13" s="3" t="str">
        <f>'20 Spieler'!$AO$44</f>
        <v> </v>
      </c>
      <c r="BL13" s="3" t="str">
        <f>'20 Spieler'!$I$59</f>
        <v> </v>
      </c>
      <c r="BM13" s="3" t="str">
        <f>'20 Spieler'!$Q$60</f>
        <v> </v>
      </c>
      <c r="BN13" s="3" t="str">
        <f>'20 Spieler'!$Y$61</f>
        <v> </v>
      </c>
      <c r="BO13" s="3" t="str">
        <f>'20 Spieler'!$AG$62</f>
        <v> </v>
      </c>
      <c r="BP13" s="160" t="str">
        <f t="shared" si="0"/>
        <v> </v>
      </c>
      <c r="BQ13" s="3" t="str">
        <f t="shared" si="1"/>
        <v> </v>
      </c>
      <c r="BR13" s="3" t="str">
        <f t="shared" si="2"/>
        <v> </v>
      </c>
      <c r="BS13" s="3" t="str">
        <f t="shared" si="3"/>
        <v> </v>
      </c>
      <c r="BT13" s="3" t="str">
        <f t="shared" si="4"/>
        <v> </v>
      </c>
      <c r="BU13" s="3" t="str">
        <f t="shared" si="5"/>
        <v> </v>
      </c>
      <c r="BV13" s="3" t="str">
        <f t="shared" si="6"/>
        <v> </v>
      </c>
      <c r="BW13" s="3" t="str">
        <f t="shared" si="7"/>
        <v> </v>
      </c>
      <c r="BX13" s="3" t="str">
        <f t="shared" si="8"/>
        <v> </v>
      </c>
      <c r="BY13" s="3" t="str">
        <f t="shared" si="9"/>
        <v> </v>
      </c>
      <c r="BZ13" s="3" t="str">
        <f t="shared" si="10"/>
        <v> </v>
      </c>
      <c r="CA13" s="3" t="str">
        <f t="shared" si="11"/>
        <v> </v>
      </c>
      <c r="CB13" s="3" t="str">
        <f t="shared" si="12"/>
        <v> </v>
      </c>
      <c r="CC13" s="3" t="str">
        <f t="shared" si="13"/>
        <v> </v>
      </c>
      <c r="CD13" s="3" t="str">
        <f t="shared" si="14"/>
        <v> </v>
      </c>
      <c r="CE13" s="3" t="str">
        <f t="shared" si="15"/>
        <v> </v>
      </c>
      <c r="CF13" s="3" t="str">
        <f t="shared" si="16"/>
        <v> </v>
      </c>
      <c r="CG13" s="3" t="str">
        <f t="shared" si="17"/>
        <v> </v>
      </c>
      <c r="CH13" s="3" t="str">
        <f t="shared" si="18"/>
        <v> </v>
      </c>
      <c r="CI13" s="161">
        <f t="shared" si="19"/>
        <v>0</v>
      </c>
      <c r="CJ13" s="162">
        <f t="shared" si="20"/>
        <v>0</v>
      </c>
      <c r="CK13" s="162">
        <f t="shared" si="21"/>
        <v>0</v>
      </c>
      <c r="CL13" s="162">
        <f t="shared" si="22"/>
        <v>0</v>
      </c>
      <c r="CM13" s="162">
        <f t="shared" si="23"/>
        <v>0</v>
      </c>
      <c r="CN13" s="162">
        <f t="shared" si="24"/>
        <v>0</v>
      </c>
      <c r="CO13" s="162">
        <f t="shared" si="25"/>
        <v>0</v>
      </c>
      <c r="CP13" s="162">
        <f t="shared" si="26"/>
        <v>0</v>
      </c>
      <c r="CQ13" s="162">
        <f t="shared" si="27"/>
        <v>0</v>
      </c>
      <c r="CR13" s="162">
        <f t="shared" si="28"/>
        <v>0</v>
      </c>
      <c r="CS13" s="162">
        <f t="shared" si="29"/>
        <v>0</v>
      </c>
      <c r="CT13" s="162">
        <f t="shared" si="30"/>
        <v>0</v>
      </c>
      <c r="CU13" s="162">
        <f t="shared" si="31"/>
        <v>0</v>
      </c>
      <c r="CV13" s="162">
        <f t="shared" si="32"/>
        <v>0</v>
      </c>
      <c r="CW13" s="162">
        <f t="shared" si="33"/>
        <v>0</v>
      </c>
      <c r="CX13" s="162">
        <f t="shared" si="34"/>
        <v>0</v>
      </c>
      <c r="CY13" s="162">
        <f t="shared" si="35"/>
        <v>0</v>
      </c>
      <c r="CZ13" s="162">
        <f t="shared" si="36"/>
        <v>0</v>
      </c>
      <c r="DA13" s="162">
        <f t="shared" si="37"/>
        <v>0</v>
      </c>
      <c r="DB13" s="163">
        <f t="shared" si="43"/>
        <v>0</v>
      </c>
      <c r="DC13" s="1">
        <f t="shared" si="38"/>
        <v>0</v>
      </c>
      <c r="DD13" s="153">
        <f t="shared" si="44"/>
        <v>15</v>
      </c>
      <c r="DE13" s="153">
        <f t="shared" si="45"/>
        <v>1</v>
      </c>
      <c r="DF13" s="153">
        <f t="shared" si="39"/>
        <v>0</v>
      </c>
      <c r="DG13" s="153">
        <f t="shared" si="46"/>
        <v>15</v>
      </c>
      <c r="DH13" s="1">
        <f t="shared" si="40"/>
        <v>0</v>
      </c>
      <c r="DI13" s="5">
        <f t="shared" si="47"/>
        <v>0</v>
      </c>
    </row>
    <row r="14" spans="2:113" ht="19.5" customHeight="1">
      <c r="B14" s="46">
        <f>IF(AND(D13=D14,E13=E14,F13=F14),"","10.")</f>
      </c>
      <c r="C14" s="7" t="str">
        <f t="shared" si="48"/>
        <v>Spieler 10</v>
      </c>
      <c r="D14" s="48">
        <f t="shared" si="49"/>
        <v>0</v>
      </c>
      <c r="E14" s="54">
        <f t="shared" si="50"/>
      </c>
      <c r="F14" s="62" t="str">
        <f t="shared" si="51"/>
        <v> </v>
      </c>
      <c r="I14" s="46">
        <f t="shared" si="52"/>
        <v>10</v>
      </c>
      <c r="J14" s="47" t="str">
        <f>'Kreuztabelle 20'!C40</f>
        <v>Spieler 10</v>
      </c>
      <c r="K14" s="48">
        <f>IF(COUNT('Kreuztabelle 20'!D40:'Kreuztabelle 20'!W40)&gt;0,COUNT('Kreuztabelle 20'!D40:'Kreuztabelle 20'!W40),0)</f>
        <v>0</v>
      </c>
      <c r="L14" s="54">
        <f>'Kreuztabelle 20'!Y40</f>
      </c>
      <c r="M14" s="62" t="str">
        <f>'Kreuztabelle 20'!X40</f>
        <v> </v>
      </c>
      <c r="N14">
        <f>IF(M14=" ",0.11,M14*100000+L14*1000-K14+0.11)</f>
        <v>0.11</v>
      </c>
      <c r="O14" s="64">
        <f t="shared" si="41"/>
        <v>20</v>
      </c>
      <c r="P14" s="64" t="e">
        <f>IF(AND(D13=D14,E13=E14,F13=F14),P13,10)</f>
        <v>#VALUE!</v>
      </c>
      <c r="Q14" s="65" t="e">
        <f t="shared" si="53"/>
        <v>#VALUE!</v>
      </c>
      <c r="R14" s="65" t="str">
        <f t="shared" si="42"/>
        <v> </v>
      </c>
      <c r="T14" s="1">
        <v>10</v>
      </c>
      <c r="AA14" t="str">
        <f>Eingabe!G6</f>
        <v>Spieler 11</v>
      </c>
      <c r="AB14" s="1">
        <f>IF(Eingabe!I6=" ",0,Eingabe!I6)</f>
        <v>0</v>
      </c>
      <c r="AC14" s="1">
        <f>IF(Eingabe!H6=5,5,IF(Eingabe!H6=10,10,15))</f>
        <v>15</v>
      </c>
      <c r="AD14" s="160">
        <f>$AB$13</f>
        <v>0</v>
      </c>
      <c r="AE14" s="154">
        <f>$AB$11</f>
        <v>0</v>
      </c>
      <c r="AF14" s="154">
        <f>$AB$9</f>
        <v>0</v>
      </c>
      <c r="AG14" s="154">
        <f>$AB$7</f>
        <v>0</v>
      </c>
      <c r="AH14" s="154">
        <f>$AB$5</f>
        <v>0</v>
      </c>
      <c r="AI14" s="154">
        <f>$AB$22</f>
        <v>0</v>
      </c>
      <c r="AJ14" s="154">
        <f>$AB$20</f>
        <v>0</v>
      </c>
      <c r="AK14" s="154">
        <f>$AB$18</f>
        <v>0</v>
      </c>
      <c r="AL14" s="154">
        <f>$AB$16</f>
        <v>0</v>
      </c>
      <c r="AM14" s="154">
        <f>$AB$23</f>
        <v>0</v>
      </c>
      <c r="AN14" s="154">
        <f>$AB$12</f>
        <v>0</v>
      </c>
      <c r="AO14" s="154">
        <f>$AB$10</f>
        <v>0</v>
      </c>
      <c r="AP14" s="154">
        <f>$AB$8</f>
        <v>0</v>
      </c>
      <c r="AQ14" s="154">
        <f>$AB$6</f>
        <v>0</v>
      </c>
      <c r="AR14" s="154">
        <f>$AB$4</f>
        <v>0</v>
      </c>
      <c r="AS14" s="154">
        <f>$AB$21</f>
        <v>0</v>
      </c>
      <c r="AT14" s="154">
        <f>$AB$19</f>
        <v>0</v>
      </c>
      <c r="AU14" s="154">
        <f>$AB$17</f>
        <v>0</v>
      </c>
      <c r="AV14" s="154">
        <f>$AB$15</f>
        <v>0</v>
      </c>
      <c r="AW14" s="160" t="str">
        <f>'20 Spieler'!$G$21</f>
        <v> </v>
      </c>
      <c r="AX14" s="3" t="str">
        <f>'20 Spieler'!$O$20</f>
        <v> </v>
      </c>
      <c r="AY14" s="3" t="str">
        <f>'20 Spieler'!$W$19</f>
        <v> </v>
      </c>
      <c r="AZ14" s="3" t="str">
        <f>'20 Spieler'!$AE$18</f>
        <v> </v>
      </c>
      <c r="BA14" s="3" t="str">
        <f>'20 Spieler'!$AM$17</f>
        <v> </v>
      </c>
      <c r="BB14" s="3" t="str">
        <f>'20 Spieler'!$G$30</f>
        <v> </v>
      </c>
      <c r="BC14" s="3" t="str">
        <f>'20 Spieler'!$O$29</f>
        <v> </v>
      </c>
      <c r="BD14" s="3" t="str">
        <f>'20 Spieler'!$W$28</f>
        <v> </v>
      </c>
      <c r="BE14" s="3" t="str">
        <f>'20 Spieler'!$AE$27</f>
        <v> </v>
      </c>
      <c r="BF14" s="3" t="str">
        <f>'20 Spieler'!$AM$26</f>
        <v> </v>
      </c>
      <c r="BG14" s="3" t="str">
        <f>'20 Spieler'!$I$41</f>
        <v> </v>
      </c>
      <c r="BH14" s="3" t="str">
        <f>'20 Spieler'!$Q$42</f>
        <v> </v>
      </c>
      <c r="BI14" s="3" t="str">
        <f>'20 Spieler'!$Y$43</f>
        <v> </v>
      </c>
      <c r="BJ14" s="3" t="str">
        <f>'20 Spieler'!$AG$44</f>
        <v> </v>
      </c>
      <c r="BK14" s="3" t="str">
        <f>'20 Spieler'!$AO$45</f>
        <v> </v>
      </c>
      <c r="BL14" s="3" t="str">
        <f>'20 Spieler'!$I$60</f>
        <v> </v>
      </c>
      <c r="BM14" s="3" t="str">
        <f>'20 Spieler'!$Q$61</f>
        <v> </v>
      </c>
      <c r="BN14" s="3" t="str">
        <f>'20 Spieler'!$Y$62</f>
        <v> </v>
      </c>
      <c r="BO14" s="3" t="str">
        <f>'20 Spieler'!$AG$63</f>
        <v> </v>
      </c>
      <c r="BP14" s="160" t="str">
        <f t="shared" si="0"/>
        <v> </v>
      </c>
      <c r="BQ14" s="3" t="str">
        <f t="shared" si="1"/>
        <v> </v>
      </c>
      <c r="BR14" s="3" t="str">
        <f t="shared" si="2"/>
        <v> </v>
      </c>
      <c r="BS14" s="3" t="str">
        <f t="shared" si="3"/>
        <v> </v>
      </c>
      <c r="BT14" s="3" t="str">
        <f t="shared" si="4"/>
        <v> </v>
      </c>
      <c r="BU14" s="3" t="str">
        <f t="shared" si="5"/>
        <v> </v>
      </c>
      <c r="BV14" s="3" t="str">
        <f t="shared" si="6"/>
        <v> </v>
      </c>
      <c r="BW14" s="3" t="str">
        <f t="shared" si="7"/>
        <v> </v>
      </c>
      <c r="BX14" s="3" t="str">
        <f t="shared" si="8"/>
        <v> </v>
      </c>
      <c r="BY14" s="3" t="str">
        <f t="shared" si="9"/>
        <v> </v>
      </c>
      <c r="BZ14" s="3" t="str">
        <f t="shared" si="10"/>
        <v> </v>
      </c>
      <c r="CA14" s="3" t="str">
        <f t="shared" si="11"/>
        <v> </v>
      </c>
      <c r="CB14" s="3" t="str">
        <f t="shared" si="12"/>
        <v> </v>
      </c>
      <c r="CC14" s="3" t="str">
        <f t="shared" si="13"/>
        <v> </v>
      </c>
      <c r="CD14" s="3" t="str">
        <f t="shared" si="14"/>
        <v> </v>
      </c>
      <c r="CE14" s="3" t="str">
        <f t="shared" si="15"/>
        <v> </v>
      </c>
      <c r="CF14" s="3" t="str">
        <f t="shared" si="16"/>
        <v> </v>
      </c>
      <c r="CG14" s="3" t="str">
        <f t="shared" si="17"/>
        <v> </v>
      </c>
      <c r="CH14" s="3" t="str">
        <f t="shared" si="18"/>
        <v> </v>
      </c>
      <c r="CI14" s="161">
        <f t="shared" si="19"/>
        <v>0</v>
      </c>
      <c r="CJ14" s="162">
        <f t="shared" si="20"/>
        <v>0</v>
      </c>
      <c r="CK14" s="162">
        <f t="shared" si="21"/>
        <v>0</v>
      </c>
      <c r="CL14" s="162">
        <f t="shared" si="22"/>
        <v>0</v>
      </c>
      <c r="CM14" s="162">
        <f t="shared" si="23"/>
        <v>0</v>
      </c>
      <c r="CN14" s="162">
        <f t="shared" si="24"/>
        <v>0</v>
      </c>
      <c r="CO14" s="162">
        <f t="shared" si="25"/>
        <v>0</v>
      </c>
      <c r="CP14" s="162">
        <f t="shared" si="26"/>
        <v>0</v>
      </c>
      <c r="CQ14" s="162">
        <f t="shared" si="27"/>
        <v>0</v>
      </c>
      <c r="CR14" s="162">
        <f t="shared" si="28"/>
        <v>0</v>
      </c>
      <c r="CS14" s="162">
        <f t="shared" si="29"/>
        <v>0</v>
      </c>
      <c r="CT14" s="162">
        <f t="shared" si="30"/>
        <v>0</v>
      </c>
      <c r="CU14" s="162">
        <f t="shared" si="31"/>
        <v>0</v>
      </c>
      <c r="CV14" s="162">
        <f t="shared" si="32"/>
        <v>0</v>
      </c>
      <c r="CW14" s="162">
        <f t="shared" si="33"/>
        <v>0</v>
      </c>
      <c r="CX14" s="162">
        <f t="shared" si="34"/>
        <v>0</v>
      </c>
      <c r="CY14" s="162">
        <f t="shared" si="35"/>
        <v>0</v>
      </c>
      <c r="CZ14" s="162">
        <f t="shared" si="36"/>
        <v>0</v>
      </c>
      <c r="DA14" s="162">
        <f t="shared" si="37"/>
        <v>0</v>
      </c>
      <c r="DB14" s="163">
        <f t="shared" si="43"/>
        <v>0</v>
      </c>
      <c r="DC14" s="1">
        <f t="shared" si="38"/>
        <v>0</v>
      </c>
      <c r="DD14" s="153">
        <f t="shared" si="44"/>
        <v>15</v>
      </c>
      <c r="DE14" s="153">
        <f t="shared" si="45"/>
        <v>1</v>
      </c>
      <c r="DF14" s="153">
        <f t="shared" si="39"/>
        <v>0</v>
      </c>
      <c r="DG14" s="153">
        <f t="shared" si="46"/>
        <v>15</v>
      </c>
      <c r="DH14" s="1">
        <f t="shared" si="40"/>
        <v>0</v>
      </c>
      <c r="DI14" s="5">
        <f t="shared" si="47"/>
        <v>0</v>
      </c>
    </row>
    <row r="15" spans="2:113" ht="19.5" customHeight="1">
      <c r="B15" s="46">
        <f>IF(AND(D14=D15,E14=E15,F14=F15),"","11.")</f>
      </c>
      <c r="C15" s="7" t="str">
        <f t="shared" si="48"/>
        <v>Spieler 11</v>
      </c>
      <c r="D15" s="48">
        <f t="shared" si="49"/>
        <v>0</v>
      </c>
      <c r="E15" s="54">
        <f t="shared" si="50"/>
      </c>
      <c r="F15" s="62" t="str">
        <f t="shared" si="51"/>
        <v> </v>
      </c>
      <c r="I15" s="46">
        <f t="shared" si="52"/>
        <v>11</v>
      </c>
      <c r="J15" s="47" t="str">
        <f>'Kreuztabelle 20'!C41</f>
        <v>Spieler 11</v>
      </c>
      <c r="K15" s="48">
        <f>IF(COUNT('Kreuztabelle 20'!D41:'Kreuztabelle 20'!W41)&gt;0,COUNT('Kreuztabelle 20'!D41:'Kreuztabelle 20'!W41),0)</f>
        <v>0</v>
      </c>
      <c r="L15" s="54">
        <f>'Kreuztabelle 20'!Y41</f>
      </c>
      <c r="M15" s="62" t="str">
        <f>'Kreuztabelle 20'!X41</f>
        <v> </v>
      </c>
      <c r="N15">
        <f>IF(M15=" ",0.1,M15*100000+L15*1000-K15+0.1)</f>
        <v>0.1</v>
      </c>
      <c r="O15" s="64">
        <f t="shared" si="41"/>
        <v>20</v>
      </c>
      <c r="P15" s="64" t="e">
        <f>IF(AND(D14=D15,E14=E15,F14=F15),P14,11)</f>
        <v>#VALUE!</v>
      </c>
      <c r="Q15" s="65" t="e">
        <f t="shared" si="53"/>
        <v>#VALUE!</v>
      </c>
      <c r="R15" s="65" t="str">
        <f t="shared" si="42"/>
        <v> </v>
      </c>
      <c r="T15" s="1">
        <v>11</v>
      </c>
      <c r="AA15" t="str">
        <f>Eingabe!G7</f>
        <v>Spieler 12</v>
      </c>
      <c r="AB15" s="1">
        <f>IF(Eingabe!I7=" ",0,Eingabe!I7)</f>
        <v>0</v>
      </c>
      <c r="AC15" s="1">
        <f>IF(Eingabe!H7=5,5,IF(Eingabe!H7=10,10,15))</f>
        <v>15</v>
      </c>
      <c r="AD15" s="160">
        <f>$AB$12</f>
        <v>0</v>
      </c>
      <c r="AE15" s="154">
        <f>$AB$10</f>
        <v>0</v>
      </c>
      <c r="AF15" s="154">
        <f>$AB$8</f>
        <v>0</v>
      </c>
      <c r="AG15" s="154">
        <f>$AB$6</f>
        <v>0</v>
      </c>
      <c r="AH15" s="154">
        <f>$AB$4</f>
        <v>0</v>
      </c>
      <c r="AI15" s="154">
        <f>$AB$21</f>
        <v>0</v>
      </c>
      <c r="AJ15" s="154">
        <f>$AB$19</f>
        <v>0</v>
      </c>
      <c r="AK15" s="154">
        <f>$AB$17</f>
        <v>0</v>
      </c>
      <c r="AL15" s="154">
        <f>$AB$23</f>
        <v>0</v>
      </c>
      <c r="AM15" s="154">
        <f>$AB$13</f>
        <v>0</v>
      </c>
      <c r="AN15" s="154">
        <f>$AB$11</f>
        <v>0</v>
      </c>
      <c r="AO15" s="154">
        <f>$AB$9</f>
        <v>0</v>
      </c>
      <c r="AP15" s="154">
        <f>$AB$7</f>
        <v>0</v>
      </c>
      <c r="AQ15" s="154">
        <f>$AB$5</f>
        <v>0</v>
      </c>
      <c r="AR15" s="154">
        <f>$AB$22</f>
        <v>0</v>
      </c>
      <c r="AS15" s="154">
        <f>$AB$20</f>
        <v>0</v>
      </c>
      <c r="AT15" s="154">
        <f>$AB$18</f>
        <v>0</v>
      </c>
      <c r="AU15" s="154">
        <f>$AB$16</f>
        <v>0</v>
      </c>
      <c r="AV15" s="154">
        <f>$AB$14</f>
        <v>0</v>
      </c>
      <c r="AW15" s="160" t="str">
        <f>'20 Spieler'!$G$20</f>
        <v> </v>
      </c>
      <c r="AX15" s="3" t="str">
        <f>'20 Spieler'!$O$19</f>
        <v> </v>
      </c>
      <c r="AY15" s="3" t="str">
        <f>'20 Spieler'!$W$18</f>
        <v> </v>
      </c>
      <c r="AZ15" s="3" t="str">
        <f>'20 Spieler'!$AE$17</f>
        <v> </v>
      </c>
      <c r="BA15" s="3" t="str">
        <f>'20 Spieler'!$AM$16</f>
        <v> </v>
      </c>
      <c r="BB15" s="3" t="str">
        <f>'20 Spieler'!$G$29</f>
        <v> </v>
      </c>
      <c r="BC15" s="3" t="str">
        <f>'20 Spieler'!$O$28</f>
        <v> </v>
      </c>
      <c r="BD15" s="3" t="str">
        <f>'20 Spieler'!$W$27</f>
        <v> </v>
      </c>
      <c r="BE15" s="3" t="str">
        <f>'20 Spieler'!$AE$26</f>
        <v> </v>
      </c>
      <c r="BF15" s="3" t="str">
        <f>'20 Spieler'!$AO$27</f>
        <v> </v>
      </c>
      <c r="BG15" s="3" t="str">
        <f>'20 Spieler'!$I$42</f>
        <v> </v>
      </c>
      <c r="BH15" s="3" t="str">
        <f>'20 Spieler'!$Q$43</f>
        <v> </v>
      </c>
      <c r="BI15" s="3" t="str">
        <f>'20 Spieler'!$Y$44</f>
        <v> </v>
      </c>
      <c r="BJ15" s="3" t="str">
        <f>'20 Spieler'!$AG$45</f>
        <v> </v>
      </c>
      <c r="BK15" s="3" t="str">
        <f>'20 Spieler'!$AO$46</f>
        <v> </v>
      </c>
      <c r="BL15" s="3" t="str">
        <f>'20 Spieler'!$I$61</f>
        <v> </v>
      </c>
      <c r="BM15" s="3" t="str">
        <f>'20 Spieler'!$Q$62</f>
        <v> </v>
      </c>
      <c r="BN15" s="3" t="str">
        <f>'20 Spieler'!$Y$63</f>
        <v> </v>
      </c>
      <c r="BO15" s="3" t="str">
        <f>'20 Spieler'!$AE$63</f>
        <v> </v>
      </c>
      <c r="BP15" s="160" t="str">
        <f t="shared" si="0"/>
        <v> </v>
      </c>
      <c r="BQ15" s="3" t="str">
        <f t="shared" si="1"/>
        <v> </v>
      </c>
      <c r="BR15" s="3" t="str">
        <f t="shared" si="2"/>
        <v> </v>
      </c>
      <c r="BS15" s="3" t="str">
        <f t="shared" si="3"/>
        <v> </v>
      </c>
      <c r="BT15" s="3" t="str">
        <f t="shared" si="4"/>
        <v> </v>
      </c>
      <c r="BU15" s="3" t="str">
        <f t="shared" si="5"/>
        <v> </v>
      </c>
      <c r="BV15" s="3" t="str">
        <f t="shared" si="6"/>
        <v> </v>
      </c>
      <c r="BW15" s="3" t="str">
        <f t="shared" si="7"/>
        <v> </v>
      </c>
      <c r="BX15" s="3" t="str">
        <f t="shared" si="8"/>
        <v> </v>
      </c>
      <c r="BY15" s="3" t="str">
        <f t="shared" si="9"/>
        <v> </v>
      </c>
      <c r="BZ15" s="3" t="str">
        <f t="shared" si="10"/>
        <v> </v>
      </c>
      <c r="CA15" s="3" t="str">
        <f t="shared" si="11"/>
        <v> </v>
      </c>
      <c r="CB15" s="3" t="str">
        <f t="shared" si="12"/>
        <v> </v>
      </c>
      <c r="CC15" s="3" t="str">
        <f t="shared" si="13"/>
        <v> </v>
      </c>
      <c r="CD15" s="3" t="str">
        <f t="shared" si="14"/>
        <v> </v>
      </c>
      <c r="CE15" s="3" t="str">
        <f t="shared" si="15"/>
        <v> </v>
      </c>
      <c r="CF15" s="3" t="str">
        <f t="shared" si="16"/>
        <v> </v>
      </c>
      <c r="CG15" s="3" t="str">
        <f t="shared" si="17"/>
        <v> </v>
      </c>
      <c r="CH15" s="3" t="str">
        <f t="shared" si="18"/>
        <v> </v>
      </c>
      <c r="CI15" s="161">
        <f t="shared" si="19"/>
        <v>0</v>
      </c>
      <c r="CJ15" s="162">
        <f t="shared" si="20"/>
        <v>0</v>
      </c>
      <c r="CK15" s="162">
        <f t="shared" si="21"/>
        <v>0</v>
      </c>
      <c r="CL15" s="162">
        <f t="shared" si="22"/>
        <v>0</v>
      </c>
      <c r="CM15" s="162">
        <f t="shared" si="23"/>
        <v>0</v>
      </c>
      <c r="CN15" s="162">
        <f t="shared" si="24"/>
        <v>0</v>
      </c>
      <c r="CO15" s="162">
        <f t="shared" si="25"/>
        <v>0</v>
      </c>
      <c r="CP15" s="162">
        <f t="shared" si="26"/>
        <v>0</v>
      </c>
      <c r="CQ15" s="162">
        <f t="shared" si="27"/>
        <v>0</v>
      </c>
      <c r="CR15" s="162">
        <f t="shared" si="28"/>
        <v>0</v>
      </c>
      <c r="CS15" s="162">
        <f t="shared" si="29"/>
        <v>0</v>
      </c>
      <c r="CT15" s="162">
        <f t="shared" si="30"/>
        <v>0</v>
      </c>
      <c r="CU15" s="162">
        <f t="shared" si="31"/>
        <v>0</v>
      </c>
      <c r="CV15" s="162">
        <f t="shared" si="32"/>
        <v>0</v>
      </c>
      <c r="CW15" s="162">
        <f t="shared" si="33"/>
        <v>0</v>
      </c>
      <c r="CX15" s="162">
        <f t="shared" si="34"/>
        <v>0</v>
      </c>
      <c r="CY15" s="162">
        <f t="shared" si="35"/>
        <v>0</v>
      </c>
      <c r="CZ15" s="162">
        <f t="shared" si="36"/>
        <v>0</v>
      </c>
      <c r="DA15" s="162">
        <f t="shared" si="37"/>
        <v>0</v>
      </c>
      <c r="DB15" s="163">
        <f t="shared" si="43"/>
        <v>0</v>
      </c>
      <c r="DC15" s="1">
        <f t="shared" si="38"/>
        <v>0</v>
      </c>
      <c r="DD15" s="153">
        <f t="shared" si="44"/>
        <v>15</v>
      </c>
      <c r="DE15" s="153">
        <f t="shared" si="45"/>
        <v>1</v>
      </c>
      <c r="DF15" s="153">
        <f t="shared" si="39"/>
        <v>0</v>
      </c>
      <c r="DG15" s="153">
        <f t="shared" si="46"/>
        <v>15</v>
      </c>
      <c r="DH15" s="1">
        <f t="shared" si="40"/>
        <v>0</v>
      </c>
      <c r="DI15" s="5">
        <f t="shared" si="47"/>
        <v>0</v>
      </c>
    </row>
    <row r="16" spans="2:113" ht="19.5" customHeight="1">
      <c r="B16" s="46">
        <f>IF(AND(D15=D16,E15=E16,F15=F16),"","12.")</f>
      </c>
      <c r="C16" s="7" t="str">
        <f t="shared" si="48"/>
        <v>Spieler 12</v>
      </c>
      <c r="D16" s="48">
        <f t="shared" si="49"/>
        <v>0</v>
      </c>
      <c r="E16" s="54">
        <f t="shared" si="50"/>
      </c>
      <c r="F16" s="62" t="str">
        <f t="shared" si="51"/>
        <v> </v>
      </c>
      <c r="I16" s="46">
        <f t="shared" si="52"/>
        <v>12</v>
      </c>
      <c r="J16" s="47" t="str">
        <f>'Kreuztabelle 20'!C42</f>
        <v>Spieler 12</v>
      </c>
      <c r="K16" s="48">
        <f>IF(COUNT('Kreuztabelle 20'!D42:'Kreuztabelle 20'!W42)&gt;0,COUNT('Kreuztabelle 20'!D42:'Kreuztabelle 20'!W42),0)</f>
        <v>0</v>
      </c>
      <c r="L16" s="54">
        <f>'Kreuztabelle 20'!Y42</f>
      </c>
      <c r="M16" s="62" t="str">
        <f>'Kreuztabelle 20'!X42</f>
        <v> </v>
      </c>
      <c r="N16">
        <f>IF(M16=" ",0.09,M16*100000+L16*1000-K16+0.09)</f>
        <v>0.09</v>
      </c>
      <c r="O16" s="64">
        <f t="shared" si="41"/>
        <v>20</v>
      </c>
      <c r="P16" s="64" t="e">
        <f>IF(AND(D15=D16,E15=E16,F15=F16),P15,12)</f>
        <v>#VALUE!</v>
      </c>
      <c r="Q16" s="65" t="e">
        <f t="shared" si="53"/>
        <v>#VALUE!</v>
      </c>
      <c r="R16" s="65" t="str">
        <f t="shared" si="42"/>
        <v> </v>
      </c>
      <c r="T16" s="1">
        <v>12</v>
      </c>
      <c r="AA16" t="str">
        <f>Eingabe!G8</f>
        <v>Spieler 13</v>
      </c>
      <c r="AB16" s="1">
        <f>IF(Eingabe!I8=" ",0,Eingabe!I8)</f>
        <v>0</v>
      </c>
      <c r="AC16" s="1">
        <f>IF(Eingabe!H8=5,5,IF(Eingabe!H8=10,10,15))</f>
        <v>15</v>
      </c>
      <c r="AD16" s="160">
        <f>$AB$11</f>
        <v>0</v>
      </c>
      <c r="AE16" s="154">
        <f>$AB$9</f>
        <v>0</v>
      </c>
      <c r="AF16" s="154">
        <f>$AB$7</f>
        <v>0</v>
      </c>
      <c r="AG16" s="154">
        <f>$AB$5</f>
        <v>0</v>
      </c>
      <c r="AH16" s="154">
        <f>$AB$22</f>
        <v>0</v>
      </c>
      <c r="AI16" s="154">
        <f>$AB$20</f>
        <v>0</v>
      </c>
      <c r="AJ16" s="154">
        <f>$AB$18</f>
        <v>0</v>
      </c>
      <c r="AK16" s="154">
        <f>$AB$23</f>
        <v>0</v>
      </c>
      <c r="AL16" s="154">
        <f>$AB$14</f>
        <v>0</v>
      </c>
      <c r="AM16" s="154">
        <f>$AB$12</f>
        <v>0</v>
      </c>
      <c r="AN16" s="154">
        <f>$AB$10</f>
        <v>0</v>
      </c>
      <c r="AO16" s="154">
        <f>$AB$8</f>
        <v>0</v>
      </c>
      <c r="AP16" s="154">
        <f>$AB$6</f>
        <v>0</v>
      </c>
      <c r="AQ16" s="154">
        <f>$AB$4</f>
        <v>0</v>
      </c>
      <c r="AR16" s="154">
        <f>$AB$21</f>
        <v>0</v>
      </c>
      <c r="AS16" s="154">
        <f>$AB$19</f>
        <v>0</v>
      </c>
      <c r="AT16" s="154">
        <f>$AB$17</f>
        <v>0</v>
      </c>
      <c r="AU16" s="154">
        <f>$AB$15</f>
        <v>0</v>
      </c>
      <c r="AV16" s="154">
        <f>$AB$13</f>
        <v>0</v>
      </c>
      <c r="AW16" s="160" t="str">
        <f>'20 Spieler'!$G$19</f>
        <v> </v>
      </c>
      <c r="AX16" s="3" t="str">
        <f>'20 Spieler'!$O$18</f>
        <v> </v>
      </c>
      <c r="AY16" s="3" t="str">
        <f>'20 Spieler'!$W$17</f>
        <v> </v>
      </c>
      <c r="AZ16" s="3" t="str">
        <f>'20 Spieler'!$AE$16</f>
        <v> </v>
      </c>
      <c r="BA16" s="3" t="str">
        <f>'20 Spieler'!$AM$15</f>
        <v> </v>
      </c>
      <c r="BB16" s="3" t="str">
        <f>'20 Spieler'!$G$28</f>
        <v> </v>
      </c>
      <c r="BC16" s="3" t="str">
        <f>'20 Spieler'!$O$27</f>
        <v> </v>
      </c>
      <c r="BD16" s="3" t="str">
        <f>'20 Spieler'!$W$26</f>
        <v> </v>
      </c>
      <c r="BE16" s="3" t="str">
        <f>'20 Spieler'!$AG$27</f>
        <v> </v>
      </c>
      <c r="BF16" s="3" t="str">
        <f>'20 Spieler'!$AO$28</f>
        <v> </v>
      </c>
      <c r="BG16" s="3" t="str">
        <f>'20 Spieler'!$I$43</f>
        <v> </v>
      </c>
      <c r="BH16" s="3" t="str">
        <f>'20 Spieler'!$Q$44</f>
        <v> </v>
      </c>
      <c r="BI16" s="3" t="str">
        <f>'20 Spieler'!$Y$45</f>
        <v> </v>
      </c>
      <c r="BJ16" s="3" t="str">
        <f>'20 Spieler'!$AG$46</f>
        <v> </v>
      </c>
      <c r="BK16" s="3" t="str">
        <f>'20 Spieler'!$AO$47</f>
        <v> </v>
      </c>
      <c r="BL16" s="3" t="str">
        <f>'20 Spieler'!$I$62</f>
        <v> </v>
      </c>
      <c r="BM16" s="3" t="str">
        <f>'20 Spieler'!$Q$63</f>
        <v> </v>
      </c>
      <c r="BN16" s="3" t="str">
        <f>'20 Spieler'!$W$63</f>
        <v> </v>
      </c>
      <c r="BO16" s="3" t="str">
        <f>'20 Spieler'!$AE$62</f>
        <v> </v>
      </c>
      <c r="BP16" s="160" t="str">
        <f t="shared" si="0"/>
        <v> </v>
      </c>
      <c r="BQ16" s="3" t="str">
        <f t="shared" si="1"/>
        <v> </v>
      </c>
      <c r="BR16" s="3" t="str">
        <f t="shared" si="2"/>
        <v> </v>
      </c>
      <c r="BS16" s="3" t="str">
        <f t="shared" si="3"/>
        <v> </v>
      </c>
      <c r="BT16" s="3" t="str">
        <f t="shared" si="4"/>
        <v> </v>
      </c>
      <c r="BU16" s="3" t="str">
        <f t="shared" si="5"/>
        <v> </v>
      </c>
      <c r="BV16" s="3" t="str">
        <f t="shared" si="6"/>
        <v> </v>
      </c>
      <c r="BW16" s="3" t="str">
        <f t="shared" si="7"/>
        <v> </v>
      </c>
      <c r="BX16" s="3" t="str">
        <f t="shared" si="8"/>
        <v> </v>
      </c>
      <c r="BY16" s="3" t="str">
        <f t="shared" si="9"/>
        <v> </v>
      </c>
      <c r="BZ16" s="3" t="str">
        <f t="shared" si="10"/>
        <v> </v>
      </c>
      <c r="CA16" s="3" t="str">
        <f t="shared" si="11"/>
        <v> </v>
      </c>
      <c r="CB16" s="3" t="str">
        <f t="shared" si="12"/>
        <v> </v>
      </c>
      <c r="CC16" s="3" t="str">
        <f t="shared" si="13"/>
        <v> </v>
      </c>
      <c r="CD16" s="3" t="str">
        <f t="shared" si="14"/>
        <v> </v>
      </c>
      <c r="CE16" s="3" t="str">
        <f t="shared" si="15"/>
        <v> </v>
      </c>
      <c r="CF16" s="3" t="str">
        <f t="shared" si="16"/>
        <v> </v>
      </c>
      <c r="CG16" s="3" t="str">
        <f t="shared" si="17"/>
        <v> </v>
      </c>
      <c r="CH16" s="3" t="str">
        <f t="shared" si="18"/>
        <v> </v>
      </c>
      <c r="CI16" s="161">
        <f t="shared" si="19"/>
        <v>0</v>
      </c>
      <c r="CJ16" s="162">
        <f t="shared" si="20"/>
        <v>0</v>
      </c>
      <c r="CK16" s="162">
        <f t="shared" si="21"/>
        <v>0</v>
      </c>
      <c r="CL16" s="162">
        <f t="shared" si="22"/>
        <v>0</v>
      </c>
      <c r="CM16" s="162">
        <f t="shared" si="23"/>
        <v>0</v>
      </c>
      <c r="CN16" s="162">
        <f t="shared" si="24"/>
        <v>0</v>
      </c>
      <c r="CO16" s="162">
        <f t="shared" si="25"/>
        <v>0</v>
      </c>
      <c r="CP16" s="162">
        <f t="shared" si="26"/>
        <v>0</v>
      </c>
      <c r="CQ16" s="162">
        <f t="shared" si="27"/>
        <v>0</v>
      </c>
      <c r="CR16" s="162">
        <f t="shared" si="28"/>
        <v>0</v>
      </c>
      <c r="CS16" s="162">
        <f t="shared" si="29"/>
        <v>0</v>
      </c>
      <c r="CT16" s="162">
        <f t="shared" si="30"/>
        <v>0</v>
      </c>
      <c r="CU16" s="162">
        <f t="shared" si="31"/>
        <v>0</v>
      </c>
      <c r="CV16" s="162">
        <f t="shared" si="32"/>
        <v>0</v>
      </c>
      <c r="CW16" s="162">
        <f t="shared" si="33"/>
        <v>0</v>
      </c>
      <c r="CX16" s="162">
        <f t="shared" si="34"/>
        <v>0</v>
      </c>
      <c r="CY16" s="162">
        <f t="shared" si="35"/>
        <v>0</v>
      </c>
      <c r="CZ16" s="162">
        <f t="shared" si="36"/>
        <v>0</v>
      </c>
      <c r="DA16" s="162">
        <f t="shared" si="37"/>
        <v>0</v>
      </c>
      <c r="DB16" s="163">
        <f t="shared" si="43"/>
        <v>0</v>
      </c>
      <c r="DC16" s="1">
        <f t="shared" si="38"/>
        <v>0</v>
      </c>
      <c r="DD16" s="153">
        <f t="shared" si="44"/>
        <v>15</v>
      </c>
      <c r="DE16" s="153">
        <f t="shared" si="45"/>
        <v>1</v>
      </c>
      <c r="DF16" s="153">
        <f t="shared" si="39"/>
        <v>0</v>
      </c>
      <c r="DG16" s="153">
        <f t="shared" si="46"/>
        <v>15</v>
      </c>
      <c r="DH16" s="1">
        <f t="shared" si="40"/>
        <v>0</v>
      </c>
      <c r="DI16" s="5">
        <f t="shared" si="47"/>
        <v>0</v>
      </c>
    </row>
    <row r="17" spans="2:113" ht="19.5" customHeight="1">
      <c r="B17" s="46">
        <f>IF(AND(D16=D17,E16=E17,F16=F17),"","13.")</f>
      </c>
      <c r="C17" s="58" t="str">
        <f t="shared" si="48"/>
        <v>Spieler 13</v>
      </c>
      <c r="D17" s="48">
        <f t="shared" si="49"/>
        <v>0</v>
      </c>
      <c r="E17" s="54">
        <f t="shared" si="50"/>
      </c>
      <c r="F17" s="62" t="str">
        <f t="shared" si="51"/>
        <v> </v>
      </c>
      <c r="I17" s="46">
        <f t="shared" si="52"/>
        <v>13</v>
      </c>
      <c r="J17" s="47" t="str">
        <f>'Kreuztabelle 20'!C43</f>
        <v>Spieler 13</v>
      </c>
      <c r="K17" s="48">
        <f>IF(COUNT('Kreuztabelle 20'!D43:'Kreuztabelle 20'!W43)&gt;0,COUNT('Kreuztabelle 20'!D43:'Kreuztabelle 20'!W43),0)</f>
        <v>0</v>
      </c>
      <c r="L17" s="54">
        <f>'Kreuztabelle 20'!Y43</f>
      </c>
      <c r="M17" s="62" t="str">
        <f>'Kreuztabelle 20'!X43</f>
        <v> </v>
      </c>
      <c r="N17">
        <f>IF(M17=" ",0.08,M17*100000+L17*1000-K17+0.08)</f>
        <v>0.08</v>
      </c>
      <c r="O17" s="64">
        <f t="shared" si="41"/>
        <v>20</v>
      </c>
      <c r="P17" s="64" t="e">
        <f>IF(AND(D16=D17,E16=E17,F16=F17),P16,13)</f>
        <v>#VALUE!</v>
      </c>
      <c r="Q17" s="65" t="e">
        <f t="shared" si="53"/>
        <v>#VALUE!</v>
      </c>
      <c r="R17" s="65" t="str">
        <f t="shared" si="42"/>
        <v> </v>
      </c>
      <c r="T17" s="1">
        <v>13</v>
      </c>
      <c r="AA17" t="str">
        <f>Eingabe!G9</f>
        <v>Spieler 14</v>
      </c>
      <c r="AB17" s="1">
        <f>IF(Eingabe!I9=" ",0,Eingabe!I9)</f>
        <v>0</v>
      </c>
      <c r="AC17" s="1">
        <f>IF(Eingabe!H9=5,5,IF(Eingabe!H9=10,10,15))</f>
        <v>15</v>
      </c>
      <c r="AD17" s="160">
        <f>$AB$10</f>
        <v>0</v>
      </c>
      <c r="AE17" s="154">
        <f>$AB$8</f>
        <v>0</v>
      </c>
      <c r="AF17" s="154">
        <f>$AB$6</f>
        <v>0</v>
      </c>
      <c r="AG17" s="154">
        <f>$AB$4</f>
        <v>0</v>
      </c>
      <c r="AH17" s="154">
        <f>$AB$21</f>
        <v>0</v>
      </c>
      <c r="AI17" s="154">
        <f>$AB$19</f>
        <v>0</v>
      </c>
      <c r="AJ17" s="154">
        <f>$AB$23</f>
        <v>0</v>
      </c>
      <c r="AK17" s="154">
        <f>$AB$15</f>
        <v>0</v>
      </c>
      <c r="AL17" s="154">
        <f>$AB$13</f>
        <v>0</v>
      </c>
      <c r="AM17" s="154">
        <f>$AB$11</f>
        <v>0</v>
      </c>
      <c r="AN17" s="154">
        <f>$AB$9</f>
        <v>0</v>
      </c>
      <c r="AO17" s="154">
        <f>$AB$7</f>
        <v>0</v>
      </c>
      <c r="AP17" s="154">
        <f>$AB$5</f>
        <v>0</v>
      </c>
      <c r="AQ17" s="154">
        <f>$AB$22</f>
        <v>0</v>
      </c>
      <c r="AR17" s="154">
        <f>$AB$20</f>
        <v>0</v>
      </c>
      <c r="AS17" s="154">
        <f>$AB$18</f>
        <v>0</v>
      </c>
      <c r="AT17" s="154">
        <f>$AB$16</f>
        <v>0</v>
      </c>
      <c r="AU17" s="154">
        <f>$AB$14</f>
        <v>0</v>
      </c>
      <c r="AV17" s="154">
        <f>$AB$12</f>
        <v>0</v>
      </c>
      <c r="AW17" s="160" t="str">
        <f>'20 Spieler'!$G$18</f>
        <v> </v>
      </c>
      <c r="AX17" s="3" t="str">
        <f>'20 Spieler'!$O$17</f>
        <v> </v>
      </c>
      <c r="AY17" s="3" t="str">
        <f>'20 Spieler'!$W$16</f>
        <v> </v>
      </c>
      <c r="AZ17" s="3" t="str">
        <f>'20 Spieler'!$AE$15</f>
        <v> </v>
      </c>
      <c r="BA17" s="3" t="str">
        <f>'20 Spieler'!$AM$14</f>
        <v> </v>
      </c>
      <c r="BB17" s="3" t="str">
        <f>'20 Spieler'!$G$27</f>
        <v> </v>
      </c>
      <c r="BC17" s="3" t="str">
        <f>'20 Spieler'!$O$26</f>
        <v> </v>
      </c>
      <c r="BD17" s="3" t="str">
        <f>'20 Spieler'!$Y$27</f>
        <v> </v>
      </c>
      <c r="BE17" s="3" t="str">
        <f>'20 Spieler'!$AG$28</f>
        <v> </v>
      </c>
      <c r="BF17" s="3" t="str">
        <f>'20 Spieler'!$AO$29</f>
        <v> </v>
      </c>
      <c r="BG17" s="3" t="str">
        <f>'20 Spieler'!$I$44</f>
        <v> </v>
      </c>
      <c r="BH17" s="3" t="str">
        <f>'20 Spieler'!$Q$45</f>
        <v> </v>
      </c>
      <c r="BI17" s="3" t="str">
        <f>'20 Spieler'!$Y$46</f>
        <v> </v>
      </c>
      <c r="BJ17" s="3" t="str">
        <f>'20 Spieler'!$AG$47</f>
        <v> </v>
      </c>
      <c r="BK17" s="3" t="str">
        <f>'20 Spieler'!$AO$48</f>
        <v> </v>
      </c>
      <c r="BL17" s="3" t="str">
        <f>'20 Spieler'!$I$63</f>
        <v> </v>
      </c>
      <c r="BM17" s="3" t="str">
        <f>'20 Spieler'!$O$63</f>
        <v> </v>
      </c>
      <c r="BN17" s="3" t="str">
        <f>'20 Spieler'!$W$62</f>
        <v> </v>
      </c>
      <c r="BO17" s="3" t="str">
        <f>'20 Spieler'!$AE$61</f>
        <v> </v>
      </c>
      <c r="BP17" s="160" t="str">
        <f t="shared" si="0"/>
        <v> </v>
      </c>
      <c r="BQ17" s="3" t="str">
        <f t="shared" si="1"/>
        <v> </v>
      </c>
      <c r="BR17" s="3" t="str">
        <f t="shared" si="2"/>
        <v> </v>
      </c>
      <c r="BS17" s="3" t="str">
        <f t="shared" si="3"/>
        <v> </v>
      </c>
      <c r="BT17" s="3" t="str">
        <f t="shared" si="4"/>
        <v> </v>
      </c>
      <c r="BU17" s="3" t="str">
        <f t="shared" si="5"/>
        <v> </v>
      </c>
      <c r="BV17" s="3" t="str">
        <f t="shared" si="6"/>
        <v> </v>
      </c>
      <c r="BW17" s="3" t="str">
        <f t="shared" si="7"/>
        <v> </v>
      </c>
      <c r="BX17" s="3" t="str">
        <f t="shared" si="8"/>
        <v> </v>
      </c>
      <c r="BY17" s="3" t="str">
        <f t="shared" si="9"/>
        <v> </v>
      </c>
      <c r="BZ17" s="3" t="str">
        <f t="shared" si="10"/>
        <v> </v>
      </c>
      <c r="CA17" s="3" t="str">
        <f t="shared" si="11"/>
        <v> </v>
      </c>
      <c r="CB17" s="3" t="str">
        <f t="shared" si="12"/>
        <v> </v>
      </c>
      <c r="CC17" s="3" t="str">
        <f t="shared" si="13"/>
        <v> </v>
      </c>
      <c r="CD17" s="3" t="str">
        <f t="shared" si="14"/>
        <v> </v>
      </c>
      <c r="CE17" s="3" t="str">
        <f t="shared" si="15"/>
        <v> </v>
      </c>
      <c r="CF17" s="3" t="str">
        <f t="shared" si="16"/>
        <v> </v>
      </c>
      <c r="CG17" s="3" t="str">
        <f t="shared" si="17"/>
        <v> </v>
      </c>
      <c r="CH17" s="3" t="str">
        <f t="shared" si="18"/>
        <v> </v>
      </c>
      <c r="CI17" s="161">
        <f t="shared" si="19"/>
        <v>0</v>
      </c>
      <c r="CJ17" s="162">
        <f t="shared" si="20"/>
        <v>0</v>
      </c>
      <c r="CK17" s="162">
        <f t="shared" si="21"/>
        <v>0</v>
      </c>
      <c r="CL17" s="162">
        <f t="shared" si="22"/>
        <v>0</v>
      </c>
      <c r="CM17" s="162">
        <f t="shared" si="23"/>
        <v>0</v>
      </c>
      <c r="CN17" s="162">
        <f t="shared" si="24"/>
        <v>0</v>
      </c>
      <c r="CO17" s="162">
        <f t="shared" si="25"/>
        <v>0</v>
      </c>
      <c r="CP17" s="162">
        <f t="shared" si="26"/>
        <v>0</v>
      </c>
      <c r="CQ17" s="162">
        <f t="shared" si="27"/>
        <v>0</v>
      </c>
      <c r="CR17" s="162">
        <f t="shared" si="28"/>
        <v>0</v>
      </c>
      <c r="CS17" s="162">
        <f t="shared" si="29"/>
        <v>0</v>
      </c>
      <c r="CT17" s="162">
        <f t="shared" si="30"/>
        <v>0</v>
      </c>
      <c r="CU17" s="162">
        <f t="shared" si="31"/>
        <v>0</v>
      </c>
      <c r="CV17" s="162">
        <f t="shared" si="32"/>
        <v>0</v>
      </c>
      <c r="CW17" s="162">
        <f t="shared" si="33"/>
        <v>0</v>
      </c>
      <c r="CX17" s="162">
        <f t="shared" si="34"/>
        <v>0</v>
      </c>
      <c r="CY17" s="162">
        <f t="shared" si="35"/>
        <v>0</v>
      </c>
      <c r="CZ17" s="162">
        <f t="shared" si="36"/>
        <v>0</v>
      </c>
      <c r="DA17" s="162">
        <f t="shared" si="37"/>
        <v>0</v>
      </c>
      <c r="DB17" s="163">
        <f t="shared" si="43"/>
        <v>0</v>
      </c>
      <c r="DC17" s="1">
        <f t="shared" si="38"/>
        <v>0</v>
      </c>
      <c r="DD17" s="153">
        <f t="shared" si="44"/>
        <v>15</v>
      </c>
      <c r="DE17" s="153">
        <f t="shared" si="45"/>
        <v>1</v>
      </c>
      <c r="DF17" s="153">
        <f t="shared" si="39"/>
        <v>0</v>
      </c>
      <c r="DG17" s="153">
        <f t="shared" si="46"/>
        <v>15</v>
      </c>
      <c r="DH17" s="1">
        <f t="shared" si="40"/>
        <v>0</v>
      </c>
      <c r="DI17" s="5">
        <f t="shared" si="47"/>
        <v>0</v>
      </c>
    </row>
    <row r="18" spans="2:113" ht="19.5" customHeight="1">
      <c r="B18" s="46">
        <f>IF(AND(D17=D18,E17=E18,F17=F18),"","14.")</f>
      </c>
      <c r="C18" s="7" t="str">
        <f t="shared" si="48"/>
        <v>Spieler 14</v>
      </c>
      <c r="D18" s="48">
        <f t="shared" si="49"/>
        <v>0</v>
      </c>
      <c r="E18" s="54">
        <f t="shared" si="50"/>
      </c>
      <c r="F18" s="62" t="str">
        <f t="shared" si="51"/>
        <v> </v>
      </c>
      <c r="I18" s="46">
        <f t="shared" si="52"/>
        <v>14</v>
      </c>
      <c r="J18" s="47" t="str">
        <f>'Kreuztabelle 20'!C44</f>
        <v>Spieler 14</v>
      </c>
      <c r="K18" s="48">
        <f>IF(COUNT('Kreuztabelle 20'!D44:'Kreuztabelle 20'!W44)&gt;0,COUNT('Kreuztabelle 20'!D44:'Kreuztabelle 20'!W44),0)</f>
        <v>0</v>
      </c>
      <c r="L18" s="54">
        <f>'Kreuztabelle 20'!Y44</f>
      </c>
      <c r="M18" s="62" t="str">
        <f>'Kreuztabelle 20'!X44</f>
        <v> </v>
      </c>
      <c r="N18">
        <f>IF(M18=" ",0.07,M18*100000+L18*1000-K18+0.07)</f>
        <v>0.07</v>
      </c>
      <c r="O18" s="64">
        <f aca="true" t="shared" si="54" ref="O18:O24">COUNTIF($P$5:$P$24,P18)</f>
        <v>20</v>
      </c>
      <c r="P18" s="64" t="e">
        <f>IF(AND(D17=D18,E17=E18,F17=F18),P17,14)</f>
        <v>#VALUE!</v>
      </c>
      <c r="Q18" s="65" t="e">
        <f t="shared" si="53"/>
        <v>#VALUE!</v>
      </c>
      <c r="R18" s="65" t="str">
        <f t="shared" si="42"/>
        <v> </v>
      </c>
      <c r="T18" s="1">
        <v>14</v>
      </c>
      <c r="AA18" t="str">
        <f>Eingabe!G10</f>
        <v>Spieler 15</v>
      </c>
      <c r="AB18" s="1">
        <f>IF(Eingabe!I10=" ",0,Eingabe!I10)</f>
        <v>0</v>
      </c>
      <c r="AC18" s="1">
        <f>IF(Eingabe!H10=5,5,IF(Eingabe!H10=10,10,15))</f>
        <v>15</v>
      </c>
      <c r="AD18" s="160">
        <f>$AB$9</f>
        <v>0</v>
      </c>
      <c r="AE18" s="154">
        <f>$AB$7</f>
        <v>0</v>
      </c>
      <c r="AF18" s="154">
        <f>$AB$5</f>
        <v>0</v>
      </c>
      <c r="AG18" s="154">
        <f>$AB$22</f>
        <v>0</v>
      </c>
      <c r="AH18" s="154">
        <f>$AB$20</f>
        <v>0</v>
      </c>
      <c r="AI18" s="154">
        <f>$AB$23</f>
        <v>0</v>
      </c>
      <c r="AJ18" s="154">
        <f>$AB$16</f>
        <v>0</v>
      </c>
      <c r="AK18" s="154">
        <f>$AB$14</f>
        <v>0</v>
      </c>
      <c r="AL18" s="154">
        <f>$AB$12</f>
        <v>0</v>
      </c>
      <c r="AM18" s="154">
        <f>$AB$10</f>
        <v>0</v>
      </c>
      <c r="AN18" s="154">
        <f>$AB$8</f>
        <v>0</v>
      </c>
      <c r="AO18" s="154">
        <f>$AB$6</f>
        <v>0</v>
      </c>
      <c r="AP18" s="154">
        <f>$AB$4</f>
        <v>0</v>
      </c>
      <c r="AQ18" s="154">
        <f>$AB$21</f>
        <v>0</v>
      </c>
      <c r="AR18" s="154">
        <f>$AB$19</f>
        <v>0</v>
      </c>
      <c r="AS18" s="154">
        <f>$AB$17</f>
        <v>0</v>
      </c>
      <c r="AT18" s="154">
        <f>$AB$15</f>
        <v>0</v>
      </c>
      <c r="AU18" s="154">
        <f>$AB$13</f>
        <v>0</v>
      </c>
      <c r="AV18" s="154">
        <f>$AB$11</f>
        <v>0</v>
      </c>
      <c r="AW18" s="160" t="str">
        <f>'20 Spieler'!$G$17</f>
        <v> </v>
      </c>
      <c r="AX18" s="3" t="str">
        <f>'20 Spieler'!$O$16</f>
        <v> </v>
      </c>
      <c r="AY18" s="3" t="str">
        <f>'20 Spieler'!$W$15</f>
        <v> </v>
      </c>
      <c r="AZ18" s="3" t="str">
        <f>'20 Spieler'!$AE$14</f>
        <v> </v>
      </c>
      <c r="BA18" s="3" t="str">
        <f>'20 Spieler'!$AM$13</f>
        <v> </v>
      </c>
      <c r="BB18" s="3" t="str">
        <f>'20 Spieler'!$G$26</f>
        <v> </v>
      </c>
      <c r="BC18" s="3" t="str">
        <f>'20 Spieler'!$Q$27</f>
        <v> </v>
      </c>
      <c r="BD18" s="3" t="str">
        <f>'20 Spieler'!$Y$28</f>
        <v> </v>
      </c>
      <c r="BE18" s="3" t="str">
        <f>'20 Spieler'!$AG$29</f>
        <v> </v>
      </c>
      <c r="BF18" s="3" t="str">
        <f>'20 Spieler'!$AO$30</f>
        <v> </v>
      </c>
      <c r="BG18" s="3" t="str">
        <f>'20 Spieler'!$I$45</f>
        <v> </v>
      </c>
      <c r="BH18" s="3" t="str">
        <f>'20 Spieler'!$Q$46</f>
        <v> </v>
      </c>
      <c r="BI18" s="3" t="str">
        <f>'20 Spieler'!$Y$47</f>
        <v> </v>
      </c>
      <c r="BJ18" s="3" t="str">
        <f>'20 Spieler'!$AG$48</f>
        <v> </v>
      </c>
      <c r="BK18" s="3" t="str">
        <f>'20 Spieler'!$AO$49</f>
        <v> </v>
      </c>
      <c r="BL18" s="3" t="str">
        <f>'20 Spieler'!$G$63</f>
        <v> </v>
      </c>
      <c r="BM18" s="3" t="str">
        <f>'20 Spieler'!$O$62</f>
        <v> </v>
      </c>
      <c r="BN18" s="3" t="str">
        <f>'20 Spieler'!$W$61</f>
        <v> </v>
      </c>
      <c r="BO18" s="3" t="str">
        <f>'20 Spieler'!$AE$60</f>
        <v> </v>
      </c>
      <c r="BP18" s="160" t="str">
        <f t="shared" si="0"/>
        <v> </v>
      </c>
      <c r="BQ18" s="3" t="str">
        <f t="shared" si="1"/>
        <v> </v>
      </c>
      <c r="BR18" s="3" t="str">
        <f t="shared" si="2"/>
        <v> </v>
      </c>
      <c r="BS18" s="3" t="str">
        <f t="shared" si="3"/>
        <v> </v>
      </c>
      <c r="BT18" s="3" t="str">
        <f t="shared" si="4"/>
        <v> </v>
      </c>
      <c r="BU18" s="3" t="str">
        <f t="shared" si="5"/>
        <v> </v>
      </c>
      <c r="BV18" s="3" t="str">
        <f t="shared" si="6"/>
        <v> </v>
      </c>
      <c r="BW18" s="3" t="str">
        <f t="shared" si="7"/>
        <v> </v>
      </c>
      <c r="BX18" s="3" t="str">
        <f t="shared" si="8"/>
        <v> </v>
      </c>
      <c r="BY18" s="3" t="str">
        <f t="shared" si="9"/>
        <v> </v>
      </c>
      <c r="BZ18" s="3" t="str">
        <f t="shared" si="10"/>
        <v> </v>
      </c>
      <c r="CA18" s="3" t="str">
        <f t="shared" si="11"/>
        <v> </v>
      </c>
      <c r="CB18" s="3" t="str">
        <f t="shared" si="12"/>
        <v> </v>
      </c>
      <c r="CC18" s="3" t="str">
        <f t="shared" si="13"/>
        <v> </v>
      </c>
      <c r="CD18" s="3" t="str">
        <f t="shared" si="14"/>
        <v> </v>
      </c>
      <c r="CE18" s="3" t="str">
        <f t="shared" si="15"/>
        <v> </v>
      </c>
      <c r="CF18" s="3" t="str">
        <f t="shared" si="16"/>
        <v> </v>
      </c>
      <c r="CG18" s="3" t="str">
        <f t="shared" si="17"/>
        <v> </v>
      </c>
      <c r="CH18" s="3" t="str">
        <f t="shared" si="18"/>
        <v> </v>
      </c>
      <c r="CI18" s="161">
        <f t="shared" si="19"/>
        <v>0</v>
      </c>
      <c r="CJ18" s="162">
        <f t="shared" si="20"/>
        <v>0</v>
      </c>
      <c r="CK18" s="162">
        <f t="shared" si="21"/>
        <v>0</v>
      </c>
      <c r="CL18" s="162">
        <f t="shared" si="22"/>
        <v>0</v>
      </c>
      <c r="CM18" s="162">
        <f t="shared" si="23"/>
        <v>0</v>
      </c>
      <c r="CN18" s="162">
        <f t="shared" si="24"/>
        <v>0</v>
      </c>
      <c r="CO18" s="162">
        <f t="shared" si="25"/>
        <v>0</v>
      </c>
      <c r="CP18" s="162">
        <f t="shared" si="26"/>
        <v>0</v>
      </c>
      <c r="CQ18" s="162">
        <f t="shared" si="27"/>
        <v>0</v>
      </c>
      <c r="CR18" s="162">
        <f t="shared" si="28"/>
        <v>0</v>
      </c>
      <c r="CS18" s="162">
        <f t="shared" si="29"/>
        <v>0</v>
      </c>
      <c r="CT18" s="162">
        <f t="shared" si="30"/>
        <v>0</v>
      </c>
      <c r="CU18" s="162">
        <f t="shared" si="31"/>
        <v>0</v>
      </c>
      <c r="CV18" s="162">
        <f t="shared" si="32"/>
        <v>0</v>
      </c>
      <c r="CW18" s="162">
        <f t="shared" si="33"/>
        <v>0</v>
      </c>
      <c r="CX18" s="162">
        <f t="shared" si="34"/>
        <v>0</v>
      </c>
      <c r="CY18" s="162">
        <f t="shared" si="35"/>
        <v>0</v>
      </c>
      <c r="CZ18" s="162">
        <f t="shared" si="36"/>
        <v>0</v>
      </c>
      <c r="DA18" s="162">
        <f t="shared" si="37"/>
        <v>0</v>
      </c>
      <c r="DB18" s="163">
        <f t="shared" si="43"/>
        <v>0</v>
      </c>
      <c r="DC18" s="1">
        <f t="shared" si="38"/>
        <v>0</v>
      </c>
      <c r="DD18" s="153">
        <f t="shared" si="44"/>
        <v>15</v>
      </c>
      <c r="DE18" s="153">
        <f t="shared" si="45"/>
        <v>1</v>
      </c>
      <c r="DF18" s="153">
        <f t="shared" si="39"/>
        <v>0</v>
      </c>
      <c r="DG18" s="153">
        <f t="shared" si="46"/>
        <v>15</v>
      </c>
      <c r="DH18" s="1">
        <f t="shared" si="40"/>
        <v>0</v>
      </c>
      <c r="DI18" s="5">
        <f t="shared" si="47"/>
        <v>0</v>
      </c>
    </row>
    <row r="19" spans="2:113" ht="19.5" customHeight="1">
      <c r="B19" s="46">
        <f>IF(AND(D18=D19,E18=E19,F18=F19),"","15.")</f>
      </c>
      <c r="C19" s="7" t="str">
        <f t="shared" si="48"/>
        <v>Spieler 15</v>
      </c>
      <c r="D19" s="48">
        <f t="shared" si="49"/>
        <v>0</v>
      </c>
      <c r="E19" s="54">
        <f t="shared" si="50"/>
      </c>
      <c r="F19" s="62" t="str">
        <f t="shared" si="51"/>
        <v> </v>
      </c>
      <c r="I19" s="46">
        <f t="shared" si="52"/>
        <v>15</v>
      </c>
      <c r="J19" s="47" t="str">
        <f>'Kreuztabelle 20'!C45</f>
        <v>Spieler 15</v>
      </c>
      <c r="K19" s="48">
        <f>IF(COUNT('Kreuztabelle 20'!D45:'Kreuztabelle 20'!W45)&gt;0,COUNT('Kreuztabelle 20'!D45:'Kreuztabelle 20'!W45),0)</f>
        <v>0</v>
      </c>
      <c r="L19" s="54">
        <f>'Kreuztabelle 20'!Y45</f>
      </c>
      <c r="M19" s="62" t="str">
        <f>'Kreuztabelle 20'!X45</f>
        <v> </v>
      </c>
      <c r="N19">
        <f>IF(M19=" ",0.06,M19*100000+L19*1000-K19+0.06)</f>
        <v>0.06</v>
      </c>
      <c r="O19" s="64">
        <f t="shared" si="54"/>
        <v>20</v>
      </c>
      <c r="P19" s="64" t="e">
        <f>IF(AND(D18=D19,E18=E19,F18=F19),P18,15)</f>
        <v>#VALUE!</v>
      </c>
      <c r="Q19" s="65" t="e">
        <f t="shared" si="53"/>
        <v>#VALUE!</v>
      </c>
      <c r="R19" s="65" t="str">
        <f t="shared" si="42"/>
        <v> </v>
      </c>
      <c r="T19" s="1">
        <v>15</v>
      </c>
      <c r="AA19" t="str">
        <f>Eingabe!G11</f>
        <v>Spieler 16</v>
      </c>
      <c r="AB19" s="1">
        <f>IF(Eingabe!I11=" ",0,Eingabe!I11)</f>
        <v>0</v>
      </c>
      <c r="AC19" s="1">
        <f>IF(Eingabe!H11=5,5,IF(Eingabe!H11=10,10,15))</f>
        <v>15</v>
      </c>
      <c r="AD19" s="160">
        <f>$AB$8</f>
        <v>0</v>
      </c>
      <c r="AE19" s="154">
        <f>$AB$6</f>
        <v>0</v>
      </c>
      <c r="AF19" s="154">
        <f>$AB$4</f>
        <v>0</v>
      </c>
      <c r="AG19" s="154">
        <f>$AB$21</f>
        <v>0</v>
      </c>
      <c r="AH19" s="154">
        <f>$AB$23</f>
        <v>0</v>
      </c>
      <c r="AI19" s="154">
        <f>$AB$17</f>
        <v>0</v>
      </c>
      <c r="AJ19" s="154">
        <f>$AB$15</f>
        <v>0</v>
      </c>
      <c r="AK19" s="154">
        <f>$AB$13</f>
        <v>0</v>
      </c>
      <c r="AL19" s="154">
        <f>$AB$11</f>
        <v>0</v>
      </c>
      <c r="AM19" s="154">
        <f>$AB$9</f>
        <v>0</v>
      </c>
      <c r="AN19" s="154">
        <f>$AB$7</f>
        <v>0</v>
      </c>
      <c r="AO19" s="154">
        <f>$AB$5</f>
        <v>0</v>
      </c>
      <c r="AP19" s="154">
        <f>$AB$22</f>
        <v>0</v>
      </c>
      <c r="AQ19" s="154">
        <f>$AB$20</f>
        <v>0</v>
      </c>
      <c r="AR19" s="154">
        <f>$AB$18</f>
        <v>0</v>
      </c>
      <c r="AS19" s="154">
        <f>$AB$16</f>
        <v>0</v>
      </c>
      <c r="AT19" s="154">
        <f>$AB$14</f>
        <v>0</v>
      </c>
      <c r="AU19" s="154">
        <f>$AB$12</f>
        <v>0</v>
      </c>
      <c r="AV19" s="154">
        <f>$AB$10</f>
        <v>0</v>
      </c>
      <c r="AW19" s="160" t="str">
        <f>'20 Spieler'!$G$16</f>
        <v> </v>
      </c>
      <c r="AX19" s="3" t="str">
        <f>'20 Spieler'!$O$15</f>
        <v> </v>
      </c>
      <c r="AY19" s="3" t="str">
        <f>'20 Spieler'!$W$14</f>
        <v> </v>
      </c>
      <c r="AZ19" s="3" t="str">
        <f>'20 Spieler'!$AE$13</f>
        <v> </v>
      </c>
      <c r="BA19" s="3" t="str">
        <f>'20 Spieler'!$AM$12</f>
        <v> </v>
      </c>
      <c r="BB19" s="3" t="str">
        <f>'20 Spieler'!$I$27</f>
        <v> </v>
      </c>
      <c r="BC19" s="3" t="str">
        <f>'20 Spieler'!$Q$28</f>
        <v> </v>
      </c>
      <c r="BD19" s="3" t="str">
        <f>'20 Spieler'!$Y$29</f>
        <v> </v>
      </c>
      <c r="BE19" s="3" t="str">
        <f>'20 Spieler'!$AG$30</f>
        <v> </v>
      </c>
      <c r="BF19" s="3" t="str">
        <f>'20 Spieler'!$AO$31</f>
        <v> </v>
      </c>
      <c r="BG19" s="3" t="str">
        <f>'20 Spieler'!$I$46</f>
        <v> </v>
      </c>
      <c r="BH19" s="3" t="str">
        <f>'20 Spieler'!$Q$47</f>
        <v> </v>
      </c>
      <c r="BI19" s="3" t="str">
        <f>'20 Spieler'!$Y$48</f>
        <v> </v>
      </c>
      <c r="BJ19" s="3" t="str">
        <f>'20 Spieler'!$AG$49</f>
        <v> </v>
      </c>
      <c r="BK19" s="3" t="str">
        <f>'20 Spieler'!$AM$49</f>
        <v> </v>
      </c>
      <c r="BL19" s="3" t="str">
        <f>'20 Spieler'!$G$62</f>
        <v> </v>
      </c>
      <c r="BM19" s="3" t="str">
        <f>'20 Spieler'!$O$61</f>
        <v> </v>
      </c>
      <c r="BN19" s="3" t="str">
        <f>'20 Spieler'!$W$60</f>
        <v> </v>
      </c>
      <c r="BO19" s="3" t="str">
        <f>'20 Spieler'!$AE$59</f>
        <v> </v>
      </c>
      <c r="BP19" s="160" t="str">
        <f t="shared" si="0"/>
        <v> </v>
      </c>
      <c r="BQ19" s="3" t="str">
        <f t="shared" si="1"/>
        <v> </v>
      </c>
      <c r="BR19" s="3" t="str">
        <f t="shared" si="2"/>
        <v> </v>
      </c>
      <c r="BS19" s="3" t="str">
        <f t="shared" si="3"/>
        <v> </v>
      </c>
      <c r="BT19" s="3" t="str">
        <f t="shared" si="4"/>
        <v> </v>
      </c>
      <c r="BU19" s="3" t="str">
        <f t="shared" si="5"/>
        <v> </v>
      </c>
      <c r="BV19" s="3" t="str">
        <f t="shared" si="6"/>
        <v> </v>
      </c>
      <c r="BW19" s="3" t="str">
        <f t="shared" si="7"/>
        <v> </v>
      </c>
      <c r="BX19" s="3" t="str">
        <f t="shared" si="8"/>
        <v> </v>
      </c>
      <c r="BY19" s="3" t="str">
        <f t="shared" si="9"/>
        <v> </v>
      </c>
      <c r="BZ19" s="3" t="str">
        <f t="shared" si="10"/>
        <v> </v>
      </c>
      <c r="CA19" s="3" t="str">
        <f t="shared" si="11"/>
        <v> </v>
      </c>
      <c r="CB19" s="3" t="str">
        <f t="shared" si="12"/>
        <v> </v>
      </c>
      <c r="CC19" s="3" t="str">
        <f t="shared" si="13"/>
        <v> </v>
      </c>
      <c r="CD19" s="3" t="str">
        <f t="shared" si="14"/>
        <v> </v>
      </c>
      <c r="CE19" s="3" t="str">
        <f t="shared" si="15"/>
        <v> </v>
      </c>
      <c r="CF19" s="3" t="str">
        <f t="shared" si="16"/>
        <v> </v>
      </c>
      <c r="CG19" s="3" t="str">
        <f t="shared" si="17"/>
        <v> </v>
      </c>
      <c r="CH19" s="3" t="str">
        <f t="shared" si="18"/>
        <v> </v>
      </c>
      <c r="CI19" s="161">
        <f t="shared" si="19"/>
        <v>0</v>
      </c>
      <c r="CJ19" s="162">
        <f t="shared" si="20"/>
        <v>0</v>
      </c>
      <c r="CK19" s="162">
        <f t="shared" si="21"/>
        <v>0</v>
      </c>
      <c r="CL19" s="162">
        <f t="shared" si="22"/>
        <v>0</v>
      </c>
      <c r="CM19" s="162">
        <f t="shared" si="23"/>
        <v>0</v>
      </c>
      <c r="CN19" s="162">
        <f t="shared" si="24"/>
        <v>0</v>
      </c>
      <c r="CO19" s="162">
        <f t="shared" si="25"/>
        <v>0</v>
      </c>
      <c r="CP19" s="162">
        <f t="shared" si="26"/>
        <v>0</v>
      </c>
      <c r="CQ19" s="162">
        <f t="shared" si="27"/>
        <v>0</v>
      </c>
      <c r="CR19" s="162">
        <f t="shared" si="28"/>
        <v>0</v>
      </c>
      <c r="CS19" s="162">
        <f t="shared" si="29"/>
        <v>0</v>
      </c>
      <c r="CT19" s="162">
        <f t="shared" si="30"/>
        <v>0</v>
      </c>
      <c r="CU19" s="162">
        <f t="shared" si="31"/>
        <v>0</v>
      </c>
      <c r="CV19" s="162">
        <f t="shared" si="32"/>
        <v>0</v>
      </c>
      <c r="CW19" s="162">
        <f t="shared" si="33"/>
        <v>0</v>
      </c>
      <c r="CX19" s="162">
        <f t="shared" si="34"/>
        <v>0</v>
      </c>
      <c r="CY19" s="162">
        <f t="shared" si="35"/>
        <v>0</v>
      </c>
      <c r="CZ19" s="162">
        <f t="shared" si="36"/>
        <v>0</v>
      </c>
      <c r="DA19" s="162">
        <f t="shared" si="37"/>
        <v>0</v>
      </c>
      <c r="DB19" s="163">
        <f t="shared" si="43"/>
        <v>0</v>
      </c>
      <c r="DC19" s="1">
        <f t="shared" si="38"/>
        <v>0</v>
      </c>
      <c r="DD19" s="153">
        <f t="shared" si="44"/>
        <v>15</v>
      </c>
      <c r="DE19" s="153">
        <f t="shared" si="45"/>
        <v>1</v>
      </c>
      <c r="DF19" s="153">
        <f t="shared" si="39"/>
        <v>0</v>
      </c>
      <c r="DG19" s="153">
        <f t="shared" si="46"/>
        <v>15</v>
      </c>
      <c r="DH19" s="1">
        <f t="shared" si="40"/>
        <v>0</v>
      </c>
      <c r="DI19" s="5">
        <f t="shared" si="47"/>
        <v>0</v>
      </c>
    </row>
    <row r="20" spans="2:113" ht="19.5" customHeight="1">
      <c r="B20" s="46">
        <f>IF(AND(D19=D20,E19=E20,F19=F20),"","16.")</f>
      </c>
      <c r="C20" s="7" t="str">
        <f t="shared" si="48"/>
        <v>Spieler 16</v>
      </c>
      <c r="D20" s="48">
        <f t="shared" si="49"/>
        <v>0</v>
      </c>
      <c r="E20" s="54">
        <f t="shared" si="50"/>
      </c>
      <c r="F20" s="62" t="str">
        <f t="shared" si="51"/>
        <v> </v>
      </c>
      <c r="I20" s="46">
        <f t="shared" si="52"/>
        <v>16</v>
      </c>
      <c r="J20" s="47" t="str">
        <f>'Kreuztabelle 20'!C46</f>
        <v>Spieler 16</v>
      </c>
      <c r="K20" s="48">
        <f>IF(COUNT('Kreuztabelle 20'!D46:'Kreuztabelle 20'!W46)&gt;0,COUNT('Kreuztabelle 20'!D46:'Kreuztabelle 20'!W46),0)</f>
        <v>0</v>
      </c>
      <c r="L20" s="54">
        <f>'Kreuztabelle 20'!Y46</f>
      </c>
      <c r="M20" s="62" t="str">
        <f>'Kreuztabelle 20'!X46</f>
        <v> </v>
      </c>
      <c r="N20">
        <f>IF(M20=" ",0.05,M20*100000+L20*1000-K20+0.05)</f>
        <v>0.05</v>
      </c>
      <c r="O20" s="64">
        <f t="shared" si="54"/>
        <v>20</v>
      </c>
      <c r="P20" s="64" t="e">
        <f>IF(AND(D19=D20,E19=E20,F19=F20),P19,16)</f>
        <v>#VALUE!</v>
      </c>
      <c r="Q20" s="65" t="e">
        <f t="shared" si="53"/>
        <v>#VALUE!</v>
      </c>
      <c r="R20" s="65" t="str">
        <f t="shared" si="42"/>
        <v> </v>
      </c>
      <c r="T20" s="1">
        <v>16</v>
      </c>
      <c r="AA20" t="str">
        <f>Eingabe!G12</f>
        <v>Spieler 17</v>
      </c>
      <c r="AB20" s="1">
        <f>IF(Eingabe!I12=" ",0,Eingabe!I12)</f>
        <v>0</v>
      </c>
      <c r="AC20" s="1">
        <f>IF(Eingabe!H12=5,5,IF(Eingabe!H12=10,10,15))</f>
        <v>15</v>
      </c>
      <c r="AD20" s="160">
        <f>$AB$7</f>
        <v>0</v>
      </c>
      <c r="AE20" s="154">
        <f>$AB$5</f>
        <v>0</v>
      </c>
      <c r="AF20" s="154">
        <f>$AB$22</f>
        <v>0</v>
      </c>
      <c r="AG20" s="154">
        <f>$AB$23</f>
        <v>0</v>
      </c>
      <c r="AH20" s="154">
        <f>$AB$18</f>
        <v>0</v>
      </c>
      <c r="AI20" s="154">
        <f>$AB$16</f>
        <v>0</v>
      </c>
      <c r="AJ20" s="154">
        <f>$AB$14</f>
        <v>0</v>
      </c>
      <c r="AK20" s="154">
        <f>$AB$12</f>
        <v>0</v>
      </c>
      <c r="AL20" s="154">
        <f>$AB$10</f>
        <v>0</v>
      </c>
      <c r="AM20" s="154">
        <f>$AB$8</f>
        <v>0</v>
      </c>
      <c r="AN20" s="154">
        <f>$AB$6</f>
        <v>0</v>
      </c>
      <c r="AO20" s="154">
        <f>$AB$4</f>
        <v>0</v>
      </c>
      <c r="AP20" s="154">
        <f>$AB$21</f>
        <v>0</v>
      </c>
      <c r="AQ20" s="154">
        <f>$AB$19</f>
        <v>0</v>
      </c>
      <c r="AR20" s="154">
        <f>$AB$17</f>
        <v>0</v>
      </c>
      <c r="AS20" s="154">
        <f>$AB$15</f>
        <v>0</v>
      </c>
      <c r="AT20" s="154">
        <f>$AB$13</f>
        <v>0</v>
      </c>
      <c r="AU20" s="154">
        <f>$AB$11</f>
        <v>0</v>
      </c>
      <c r="AV20" s="154">
        <f>$AB$9</f>
        <v>0</v>
      </c>
      <c r="AW20" s="160" t="str">
        <f>'20 Spieler'!$G$15</f>
        <v> </v>
      </c>
      <c r="AX20" s="3" t="str">
        <f>'20 Spieler'!$O$14</f>
        <v> </v>
      </c>
      <c r="AY20" s="3" t="str">
        <f>'20 Spieler'!$W$13</f>
        <v> </v>
      </c>
      <c r="AZ20" s="3" t="str">
        <f>'20 Spieler'!$AE$12</f>
        <v> </v>
      </c>
      <c r="BA20" s="3" t="str">
        <f>'20 Spieler'!$AO$13</f>
        <v> </v>
      </c>
      <c r="BB20" s="3" t="str">
        <f>'20 Spieler'!$I$28</f>
        <v> </v>
      </c>
      <c r="BC20" s="3" t="str">
        <f>'20 Spieler'!$Q$29</f>
        <v> </v>
      </c>
      <c r="BD20" s="3" t="str">
        <f>'20 Spieler'!$Y$30</f>
        <v> </v>
      </c>
      <c r="BE20" s="3" t="str">
        <f>'20 Spieler'!$AG$31</f>
        <v> </v>
      </c>
      <c r="BF20" s="3" t="str">
        <f>'20 Spieler'!$AO$32</f>
        <v> </v>
      </c>
      <c r="BG20" s="3" t="str">
        <f>'20 Spieler'!$I$47</f>
        <v> </v>
      </c>
      <c r="BH20" s="3" t="str">
        <f>'20 Spieler'!$Q$48</f>
        <v> </v>
      </c>
      <c r="BI20" s="3" t="str">
        <f>'20 Spieler'!$Y$49</f>
        <v> </v>
      </c>
      <c r="BJ20" s="3" t="str">
        <f>'20 Spieler'!$AE$49</f>
        <v> </v>
      </c>
      <c r="BK20" s="3" t="str">
        <f>'20 Spieler'!$AM$48</f>
        <v> </v>
      </c>
      <c r="BL20" s="3" t="str">
        <f>'20 Spieler'!$G$61</f>
        <v> </v>
      </c>
      <c r="BM20" s="3" t="str">
        <f>'20 Spieler'!$O$60</f>
        <v> </v>
      </c>
      <c r="BN20" s="3" t="str">
        <f>'20 Spieler'!$W$59</f>
        <v> </v>
      </c>
      <c r="BO20" s="3" t="str">
        <f>'20 Spieler'!$AE$58</f>
        <v> </v>
      </c>
      <c r="BP20" s="160" t="str">
        <f t="shared" si="0"/>
        <v> </v>
      </c>
      <c r="BQ20" s="3" t="str">
        <f t="shared" si="1"/>
        <v> </v>
      </c>
      <c r="BR20" s="3" t="str">
        <f t="shared" si="2"/>
        <v> </v>
      </c>
      <c r="BS20" s="3" t="str">
        <f t="shared" si="3"/>
        <v> </v>
      </c>
      <c r="BT20" s="3" t="str">
        <f t="shared" si="4"/>
        <v> </v>
      </c>
      <c r="BU20" s="3" t="str">
        <f t="shared" si="5"/>
        <v> </v>
      </c>
      <c r="BV20" s="3" t="str">
        <f t="shared" si="6"/>
        <v> </v>
      </c>
      <c r="BW20" s="3" t="str">
        <f t="shared" si="7"/>
        <v> </v>
      </c>
      <c r="BX20" s="3" t="str">
        <f t="shared" si="8"/>
        <v> </v>
      </c>
      <c r="BY20" s="3" t="str">
        <f t="shared" si="9"/>
        <v> </v>
      </c>
      <c r="BZ20" s="3" t="str">
        <f t="shared" si="10"/>
        <v> </v>
      </c>
      <c r="CA20" s="3" t="str">
        <f t="shared" si="11"/>
        <v> </v>
      </c>
      <c r="CB20" s="3" t="str">
        <f t="shared" si="12"/>
        <v> </v>
      </c>
      <c r="CC20" s="3" t="str">
        <f t="shared" si="13"/>
        <v> </v>
      </c>
      <c r="CD20" s="3" t="str">
        <f t="shared" si="14"/>
        <v> </v>
      </c>
      <c r="CE20" s="3" t="str">
        <f t="shared" si="15"/>
        <v> </v>
      </c>
      <c r="CF20" s="3" t="str">
        <f t="shared" si="16"/>
        <v> </v>
      </c>
      <c r="CG20" s="3" t="str">
        <f t="shared" si="17"/>
        <v> </v>
      </c>
      <c r="CH20" s="3" t="str">
        <f t="shared" si="18"/>
        <v> </v>
      </c>
      <c r="CI20" s="161">
        <f t="shared" si="19"/>
        <v>0</v>
      </c>
      <c r="CJ20" s="162">
        <f t="shared" si="20"/>
        <v>0</v>
      </c>
      <c r="CK20" s="162">
        <f t="shared" si="21"/>
        <v>0</v>
      </c>
      <c r="CL20" s="162">
        <f t="shared" si="22"/>
        <v>0</v>
      </c>
      <c r="CM20" s="162">
        <f t="shared" si="23"/>
        <v>0</v>
      </c>
      <c r="CN20" s="162">
        <f t="shared" si="24"/>
        <v>0</v>
      </c>
      <c r="CO20" s="162">
        <f t="shared" si="25"/>
        <v>0</v>
      </c>
      <c r="CP20" s="162">
        <f t="shared" si="26"/>
        <v>0</v>
      </c>
      <c r="CQ20" s="162">
        <f t="shared" si="27"/>
        <v>0</v>
      </c>
      <c r="CR20" s="162">
        <f t="shared" si="28"/>
        <v>0</v>
      </c>
      <c r="CS20" s="162">
        <f t="shared" si="29"/>
        <v>0</v>
      </c>
      <c r="CT20" s="162">
        <f t="shared" si="30"/>
        <v>0</v>
      </c>
      <c r="CU20" s="162">
        <f t="shared" si="31"/>
        <v>0</v>
      </c>
      <c r="CV20" s="162">
        <f t="shared" si="32"/>
        <v>0</v>
      </c>
      <c r="CW20" s="162">
        <f t="shared" si="33"/>
        <v>0</v>
      </c>
      <c r="CX20" s="162">
        <f t="shared" si="34"/>
        <v>0</v>
      </c>
      <c r="CY20" s="162">
        <f t="shared" si="35"/>
        <v>0</v>
      </c>
      <c r="CZ20" s="162">
        <f t="shared" si="36"/>
        <v>0</v>
      </c>
      <c r="DA20" s="162">
        <f t="shared" si="37"/>
        <v>0</v>
      </c>
      <c r="DB20" s="163">
        <f t="shared" si="43"/>
        <v>0</v>
      </c>
      <c r="DC20" s="1">
        <f t="shared" si="38"/>
        <v>0</v>
      </c>
      <c r="DD20" s="153">
        <f t="shared" si="44"/>
        <v>15</v>
      </c>
      <c r="DE20" s="153">
        <f t="shared" si="45"/>
        <v>1</v>
      </c>
      <c r="DF20" s="153">
        <f t="shared" si="39"/>
        <v>0</v>
      </c>
      <c r="DG20" s="153">
        <f t="shared" si="46"/>
        <v>15</v>
      </c>
      <c r="DH20" s="1">
        <f t="shared" si="40"/>
        <v>0</v>
      </c>
      <c r="DI20" s="5">
        <f t="shared" si="47"/>
        <v>0</v>
      </c>
    </row>
    <row r="21" spans="2:113" ht="19.5" customHeight="1">
      <c r="B21" s="46">
        <f>IF(AND(D20=D21,E20=E21,F20=F21),"","17.")</f>
      </c>
      <c r="C21" s="7" t="str">
        <f t="shared" si="48"/>
        <v>Spieler 17</v>
      </c>
      <c r="D21" s="48">
        <f t="shared" si="49"/>
        <v>0</v>
      </c>
      <c r="E21" s="54">
        <f t="shared" si="50"/>
      </c>
      <c r="F21" s="62" t="str">
        <f t="shared" si="51"/>
        <v> </v>
      </c>
      <c r="I21" s="46">
        <f t="shared" si="52"/>
        <v>17</v>
      </c>
      <c r="J21" s="47" t="str">
        <f>'Kreuztabelle 20'!C47</f>
        <v>Spieler 17</v>
      </c>
      <c r="K21" s="48">
        <f>IF(COUNT('Kreuztabelle 20'!D47:'Kreuztabelle 20'!W47)&gt;0,COUNT('Kreuztabelle 20'!D47:'Kreuztabelle 20'!W47),0)</f>
        <v>0</v>
      </c>
      <c r="L21" s="54">
        <f>'Kreuztabelle 20'!Y47</f>
      </c>
      <c r="M21" s="62" t="str">
        <f>'Kreuztabelle 20'!X47</f>
        <v> </v>
      </c>
      <c r="N21">
        <f>IF(M21=" ",0.04,M21*100000+L21*1000-K21+0.04)</f>
        <v>0.04</v>
      </c>
      <c r="O21" s="64">
        <f t="shared" si="54"/>
        <v>20</v>
      </c>
      <c r="P21" s="64" t="e">
        <f>IF(AND(D20=D21,E20=E21,F20=F21),P20,17)</f>
        <v>#VALUE!</v>
      </c>
      <c r="Q21" s="65" t="e">
        <f t="shared" si="53"/>
        <v>#VALUE!</v>
      </c>
      <c r="R21" s="65" t="str">
        <f t="shared" si="42"/>
        <v> </v>
      </c>
      <c r="T21" s="1">
        <v>17</v>
      </c>
      <c r="AA21" t="str">
        <f>Eingabe!G13</f>
        <v>Spieler 18</v>
      </c>
      <c r="AB21" s="1">
        <f>IF(Eingabe!I13=" ",0,Eingabe!I13)</f>
        <v>0</v>
      </c>
      <c r="AC21" s="1">
        <f>IF(Eingabe!H13=5,5,IF(Eingabe!H13=10,10,15))</f>
        <v>15</v>
      </c>
      <c r="AD21" s="160">
        <f>$AB$6</f>
        <v>0</v>
      </c>
      <c r="AE21" s="154">
        <f>$AB$4</f>
        <v>0</v>
      </c>
      <c r="AF21" s="154">
        <f>$AB$23</f>
        <v>0</v>
      </c>
      <c r="AG21" s="154">
        <f>$AB$19</f>
        <v>0</v>
      </c>
      <c r="AH21" s="154">
        <f>$AB$17</f>
        <v>0</v>
      </c>
      <c r="AI21" s="154">
        <f>$AB$15</f>
        <v>0</v>
      </c>
      <c r="AJ21" s="154">
        <f>$AB$13</f>
        <v>0</v>
      </c>
      <c r="AK21" s="154">
        <f>$AB$11</f>
        <v>0</v>
      </c>
      <c r="AL21" s="154">
        <f>$AB$9</f>
        <v>0</v>
      </c>
      <c r="AM21" s="154">
        <f>$AB$7</f>
        <v>0</v>
      </c>
      <c r="AN21" s="154">
        <f>$AB$5</f>
        <v>0</v>
      </c>
      <c r="AO21" s="154">
        <f>$AB$22</f>
        <v>0</v>
      </c>
      <c r="AP21" s="154">
        <f>$AB$20</f>
        <v>0</v>
      </c>
      <c r="AQ21" s="154">
        <f>$AB$18</f>
        <v>0</v>
      </c>
      <c r="AR21" s="154">
        <f>$AB$16</f>
        <v>0</v>
      </c>
      <c r="AS21" s="154">
        <f>$AB$14</f>
        <v>0</v>
      </c>
      <c r="AT21" s="154">
        <f>$AB$12</f>
        <v>0</v>
      </c>
      <c r="AU21" s="154">
        <f>$AB$10</f>
        <v>0</v>
      </c>
      <c r="AV21" s="154">
        <f>$AB$8</f>
        <v>0</v>
      </c>
      <c r="AW21" s="160" t="str">
        <f>'20 Spieler'!$G$14</f>
        <v> </v>
      </c>
      <c r="AX21" s="3" t="str">
        <f>'20 Spieler'!$O$13</f>
        <v> </v>
      </c>
      <c r="AY21" s="3" t="str">
        <f>'20 Spieler'!$W$12</f>
        <v> </v>
      </c>
      <c r="AZ21" s="3" t="str">
        <f>'20 Spieler'!$AG$13</f>
        <v> </v>
      </c>
      <c r="BA21" s="3" t="str">
        <f>'20 Spieler'!$AO$14</f>
        <v> </v>
      </c>
      <c r="BB21" s="3" t="str">
        <f>'20 Spieler'!$I$29</f>
        <v> </v>
      </c>
      <c r="BC21" s="3" t="str">
        <f>'20 Spieler'!$Q$30</f>
        <v> </v>
      </c>
      <c r="BD21" s="3" t="str">
        <f>'20 Spieler'!$Y$31</f>
        <v> </v>
      </c>
      <c r="BE21" s="3" t="str">
        <f>'20 Spieler'!$AG$32</f>
        <v> </v>
      </c>
      <c r="BF21" s="3" t="str">
        <f>'20 Spieler'!$AO$33</f>
        <v> </v>
      </c>
      <c r="BG21" s="3" t="str">
        <f>'20 Spieler'!$I$48</f>
        <v> </v>
      </c>
      <c r="BH21" s="3" t="str">
        <f>'20 Spieler'!$Q$49</f>
        <v> </v>
      </c>
      <c r="BI21" s="3" t="str">
        <f>'20 Spieler'!$W$49</f>
        <v> </v>
      </c>
      <c r="BJ21" s="3" t="str">
        <f>'20 Spieler'!$AE$48</f>
        <v> </v>
      </c>
      <c r="BK21" s="3" t="str">
        <f>'20 Spieler'!$AM$47</f>
        <v> </v>
      </c>
      <c r="BL21" s="3" t="str">
        <f>'20 Spieler'!$G$60</f>
        <v> </v>
      </c>
      <c r="BM21" s="3" t="str">
        <f>'20 Spieler'!$O$59</f>
        <v> </v>
      </c>
      <c r="BN21" s="3" t="str">
        <f>'20 Spieler'!$W$58</f>
        <v> </v>
      </c>
      <c r="BO21" s="3" t="str">
        <f>'20 Spieler'!$AE$57</f>
        <v> </v>
      </c>
      <c r="BP21" s="160" t="str">
        <f t="shared" si="0"/>
        <v> </v>
      </c>
      <c r="BQ21" s="3" t="str">
        <f t="shared" si="1"/>
        <v> </v>
      </c>
      <c r="BR21" s="3" t="str">
        <f t="shared" si="2"/>
        <v> </v>
      </c>
      <c r="BS21" s="3" t="str">
        <f t="shared" si="3"/>
        <v> </v>
      </c>
      <c r="BT21" s="3" t="str">
        <f t="shared" si="4"/>
        <v> </v>
      </c>
      <c r="BU21" s="3" t="str">
        <f t="shared" si="5"/>
        <v> </v>
      </c>
      <c r="BV21" s="3" t="str">
        <f t="shared" si="6"/>
        <v> </v>
      </c>
      <c r="BW21" s="3" t="str">
        <f t="shared" si="7"/>
        <v> </v>
      </c>
      <c r="BX21" s="3" t="str">
        <f t="shared" si="8"/>
        <v> </v>
      </c>
      <c r="BY21" s="3" t="str">
        <f t="shared" si="9"/>
        <v> </v>
      </c>
      <c r="BZ21" s="3" t="str">
        <f t="shared" si="10"/>
        <v> </v>
      </c>
      <c r="CA21" s="3" t="str">
        <f t="shared" si="11"/>
        <v> </v>
      </c>
      <c r="CB21" s="3" t="str">
        <f t="shared" si="12"/>
        <v> </v>
      </c>
      <c r="CC21" s="3" t="str">
        <f t="shared" si="13"/>
        <v> </v>
      </c>
      <c r="CD21" s="3" t="str">
        <f t="shared" si="14"/>
        <v> </v>
      </c>
      <c r="CE21" s="3" t="str">
        <f t="shared" si="15"/>
        <v> </v>
      </c>
      <c r="CF21" s="3" t="str">
        <f t="shared" si="16"/>
        <v> </v>
      </c>
      <c r="CG21" s="3" t="str">
        <f t="shared" si="17"/>
        <v> </v>
      </c>
      <c r="CH21" s="3" t="str">
        <f t="shared" si="18"/>
        <v> </v>
      </c>
      <c r="CI21" s="161">
        <f t="shared" si="19"/>
        <v>0</v>
      </c>
      <c r="CJ21" s="162">
        <f t="shared" si="20"/>
        <v>0</v>
      </c>
      <c r="CK21" s="162">
        <f t="shared" si="21"/>
        <v>0</v>
      </c>
      <c r="CL21" s="162">
        <f t="shared" si="22"/>
        <v>0</v>
      </c>
      <c r="CM21" s="162">
        <f t="shared" si="23"/>
        <v>0</v>
      </c>
      <c r="CN21" s="162">
        <f t="shared" si="24"/>
        <v>0</v>
      </c>
      <c r="CO21" s="162">
        <f t="shared" si="25"/>
        <v>0</v>
      </c>
      <c r="CP21" s="162">
        <f t="shared" si="26"/>
        <v>0</v>
      </c>
      <c r="CQ21" s="162">
        <f t="shared" si="27"/>
        <v>0</v>
      </c>
      <c r="CR21" s="162">
        <f t="shared" si="28"/>
        <v>0</v>
      </c>
      <c r="CS21" s="162">
        <f t="shared" si="29"/>
        <v>0</v>
      </c>
      <c r="CT21" s="162">
        <f t="shared" si="30"/>
        <v>0</v>
      </c>
      <c r="CU21" s="162">
        <f t="shared" si="31"/>
        <v>0</v>
      </c>
      <c r="CV21" s="162">
        <f t="shared" si="32"/>
        <v>0</v>
      </c>
      <c r="CW21" s="162">
        <f t="shared" si="33"/>
        <v>0</v>
      </c>
      <c r="CX21" s="162">
        <f t="shared" si="34"/>
        <v>0</v>
      </c>
      <c r="CY21" s="162">
        <f t="shared" si="35"/>
        <v>0</v>
      </c>
      <c r="CZ21" s="162">
        <f t="shared" si="36"/>
        <v>0</v>
      </c>
      <c r="DA21" s="162">
        <f t="shared" si="37"/>
        <v>0</v>
      </c>
      <c r="DB21" s="163">
        <f t="shared" si="43"/>
        <v>0</v>
      </c>
      <c r="DC21" s="1">
        <f t="shared" si="38"/>
        <v>0</v>
      </c>
      <c r="DD21" s="153">
        <f t="shared" si="44"/>
        <v>15</v>
      </c>
      <c r="DE21" s="153">
        <f t="shared" si="45"/>
        <v>1</v>
      </c>
      <c r="DF21" s="153">
        <f t="shared" si="39"/>
        <v>0</v>
      </c>
      <c r="DG21" s="153">
        <f t="shared" si="46"/>
        <v>15</v>
      </c>
      <c r="DH21" s="1">
        <f t="shared" si="40"/>
        <v>0</v>
      </c>
      <c r="DI21" s="5">
        <f t="shared" si="47"/>
        <v>0</v>
      </c>
    </row>
    <row r="22" spans="2:113" ht="19.5" customHeight="1">
      <c r="B22" s="46">
        <f>IF(AND(D21=D22,E21=E22,F21=F22),"","18.")</f>
      </c>
      <c r="C22" s="7" t="str">
        <f t="shared" si="48"/>
        <v>Spieler 18</v>
      </c>
      <c r="D22" s="48">
        <f t="shared" si="49"/>
        <v>0</v>
      </c>
      <c r="E22" s="54">
        <f t="shared" si="50"/>
      </c>
      <c r="F22" s="62" t="str">
        <f t="shared" si="51"/>
        <v> </v>
      </c>
      <c r="I22" s="46">
        <f t="shared" si="52"/>
        <v>18</v>
      </c>
      <c r="J22" s="47" t="str">
        <f>'Kreuztabelle 20'!C48</f>
        <v>Spieler 18</v>
      </c>
      <c r="K22" s="48">
        <f>IF(COUNT('Kreuztabelle 20'!D48:'Kreuztabelle 20'!W48)&gt;0,COUNT('Kreuztabelle 20'!D48:'Kreuztabelle 20'!W48),0)</f>
        <v>0</v>
      </c>
      <c r="L22" s="54">
        <f>'Kreuztabelle 20'!Y48</f>
      </c>
      <c r="M22" s="62" t="str">
        <f>'Kreuztabelle 20'!X48</f>
        <v> </v>
      </c>
      <c r="N22">
        <f>IF(M22=" ",0.03,M22*100000+L22*1000-K22+0.03)</f>
        <v>0.03</v>
      </c>
      <c r="O22" s="64">
        <f t="shared" si="54"/>
        <v>20</v>
      </c>
      <c r="P22" s="64" t="e">
        <f>IF(AND(D21=D22,E21=E22,F21=F22),P21,18)</f>
        <v>#VALUE!</v>
      </c>
      <c r="Q22" s="65" t="e">
        <f>IF(O22=1,P22&amp;".",P22&amp;".- "&amp;(P22+O22-1)&amp;".")</f>
        <v>#VALUE!</v>
      </c>
      <c r="R22" s="65" t="str">
        <f t="shared" si="42"/>
        <v> </v>
      </c>
      <c r="T22" s="1">
        <v>18</v>
      </c>
      <c r="AA22" t="str">
        <f>Eingabe!G14</f>
        <v>Spieler 19</v>
      </c>
      <c r="AB22" s="1">
        <f>IF(Eingabe!I14=" ",0,Eingabe!I14)</f>
        <v>0</v>
      </c>
      <c r="AC22" s="1">
        <f>IF(Eingabe!H14=5,5,IF(Eingabe!H14=10,10,15))</f>
        <v>15</v>
      </c>
      <c r="AD22" s="160">
        <f>$AB$5</f>
        <v>0</v>
      </c>
      <c r="AE22" s="154">
        <f>$AB$23</f>
        <v>0</v>
      </c>
      <c r="AF22" s="154">
        <f>$AB$20</f>
        <v>0</v>
      </c>
      <c r="AG22" s="154">
        <f>$AB$18</f>
        <v>0</v>
      </c>
      <c r="AH22" s="154">
        <f>$AB$16</f>
        <v>0</v>
      </c>
      <c r="AI22" s="154">
        <f>$AB$14</f>
        <v>0</v>
      </c>
      <c r="AJ22" s="154">
        <f>$AB$12</f>
        <v>0</v>
      </c>
      <c r="AK22" s="154">
        <f>$AB$10</f>
        <v>0</v>
      </c>
      <c r="AL22" s="154">
        <f>$AB$8</f>
        <v>0</v>
      </c>
      <c r="AM22" s="154">
        <f>$AB$6</f>
        <v>0</v>
      </c>
      <c r="AN22" s="154">
        <f>$AB$4</f>
        <v>0</v>
      </c>
      <c r="AO22" s="154">
        <f>$AB$21</f>
        <v>0</v>
      </c>
      <c r="AP22" s="154">
        <f>$AB$19</f>
        <v>0</v>
      </c>
      <c r="AQ22" s="154">
        <f>$AB$17</f>
        <v>0</v>
      </c>
      <c r="AR22" s="154">
        <f>$AB$15</f>
        <v>0</v>
      </c>
      <c r="AS22" s="154">
        <f>$AB$13</f>
        <v>0</v>
      </c>
      <c r="AT22" s="154">
        <f>$AB$11</f>
        <v>0</v>
      </c>
      <c r="AU22" s="154">
        <f>$AB$9</f>
        <v>0</v>
      </c>
      <c r="AV22" s="154">
        <f>$AB$7</f>
        <v>0</v>
      </c>
      <c r="AW22" s="160" t="str">
        <f>'20 Spieler'!$G$13</f>
        <v> </v>
      </c>
      <c r="AX22" s="3" t="str">
        <f>'20 Spieler'!$O$12</f>
        <v> </v>
      </c>
      <c r="AY22" s="3" t="str">
        <f>'20 Spieler'!$Y$13</f>
        <v> </v>
      </c>
      <c r="AZ22" s="3" t="str">
        <f>'20 Spieler'!$AG$14</f>
        <v> </v>
      </c>
      <c r="BA22" s="3" t="str">
        <f>'20 Spieler'!$AO$15</f>
        <v> </v>
      </c>
      <c r="BB22" s="3" t="str">
        <f>'20 Spieler'!$I$30</f>
        <v> </v>
      </c>
      <c r="BC22" s="3" t="str">
        <f>'20 Spieler'!$Q$31</f>
        <v> </v>
      </c>
      <c r="BD22" s="3" t="str">
        <f>'20 Spieler'!$Y$32</f>
        <v> </v>
      </c>
      <c r="BE22" s="3" t="str">
        <f>'20 Spieler'!$AG$33</f>
        <v> </v>
      </c>
      <c r="BF22" s="3" t="str">
        <f>'20 Spieler'!$AO$34</f>
        <v> </v>
      </c>
      <c r="BG22" s="3" t="str">
        <f>'20 Spieler'!$I$49</f>
        <v> </v>
      </c>
      <c r="BH22" s="3" t="str">
        <f>'20 Spieler'!$O$49</f>
        <v> </v>
      </c>
      <c r="BI22" s="3" t="str">
        <f>'20 Spieler'!$W$48</f>
        <v> </v>
      </c>
      <c r="BJ22" s="3" t="str">
        <f>'20 Spieler'!$AE$47</f>
        <v> </v>
      </c>
      <c r="BK22" s="3" t="str">
        <f>'20 Spieler'!$AM$46</f>
        <v> </v>
      </c>
      <c r="BL22" s="3" t="str">
        <f>'20 Spieler'!$G$59</f>
        <v> </v>
      </c>
      <c r="BM22" s="3" t="str">
        <f>'20 Spieler'!$O$58</f>
        <v> </v>
      </c>
      <c r="BN22" s="3" t="str">
        <f>'20 Spieler'!$W$57</f>
        <v> </v>
      </c>
      <c r="BO22" s="3" t="str">
        <f>'20 Spieler'!$AE$56</f>
        <v> </v>
      </c>
      <c r="BP22" s="160" t="str">
        <f t="shared" si="0"/>
        <v> </v>
      </c>
      <c r="BQ22" s="3" t="str">
        <f t="shared" si="1"/>
        <v> </v>
      </c>
      <c r="BR22" s="3" t="str">
        <f t="shared" si="2"/>
        <v> </v>
      </c>
      <c r="BS22" s="3" t="str">
        <f t="shared" si="3"/>
        <v> </v>
      </c>
      <c r="BT22" s="3" t="str">
        <f t="shared" si="4"/>
        <v> </v>
      </c>
      <c r="BU22" s="3" t="str">
        <f t="shared" si="5"/>
        <v> </v>
      </c>
      <c r="BV22" s="3" t="str">
        <f t="shared" si="6"/>
        <v> </v>
      </c>
      <c r="BW22" s="3" t="str">
        <f t="shared" si="7"/>
        <v> </v>
      </c>
      <c r="BX22" s="3" t="str">
        <f t="shared" si="8"/>
        <v> </v>
      </c>
      <c r="BY22" s="3" t="str">
        <f t="shared" si="9"/>
        <v> </v>
      </c>
      <c r="BZ22" s="3" t="str">
        <f t="shared" si="10"/>
        <v> </v>
      </c>
      <c r="CA22" s="3" t="str">
        <f t="shared" si="11"/>
        <v> </v>
      </c>
      <c r="CB22" s="3" t="str">
        <f t="shared" si="12"/>
        <v> </v>
      </c>
      <c r="CC22" s="3" t="str">
        <f t="shared" si="13"/>
        <v> </v>
      </c>
      <c r="CD22" s="3" t="str">
        <f t="shared" si="14"/>
        <v> </v>
      </c>
      <c r="CE22" s="3" t="str">
        <f t="shared" si="15"/>
        <v> </v>
      </c>
      <c r="CF22" s="3" t="str">
        <f t="shared" si="16"/>
        <v> </v>
      </c>
      <c r="CG22" s="3" t="str">
        <f t="shared" si="17"/>
        <v> </v>
      </c>
      <c r="CH22" s="3" t="str">
        <f t="shared" si="18"/>
        <v> </v>
      </c>
      <c r="CI22" s="161">
        <f t="shared" si="19"/>
        <v>0</v>
      </c>
      <c r="CJ22" s="162">
        <f t="shared" si="20"/>
        <v>0</v>
      </c>
      <c r="CK22" s="162">
        <f t="shared" si="21"/>
        <v>0</v>
      </c>
      <c r="CL22" s="162">
        <f t="shared" si="22"/>
        <v>0</v>
      </c>
      <c r="CM22" s="162">
        <f t="shared" si="23"/>
        <v>0</v>
      </c>
      <c r="CN22" s="162">
        <f t="shared" si="24"/>
        <v>0</v>
      </c>
      <c r="CO22" s="162">
        <f t="shared" si="25"/>
        <v>0</v>
      </c>
      <c r="CP22" s="162">
        <f t="shared" si="26"/>
        <v>0</v>
      </c>
      <c r="CQ22" s="162">
        <f t="shared" si="27"/>
        <v>0</v>
      </c>
      <c r="CR22" s="162">
        <f t="shared" si="28"/>
        <v>0</v>
      </c>
      <c r="CS22" s="162">
        <f t="shared" si="29"/>
        <v>0</v>
      </c>
      <c r="CT22" s="162">
        <f t="shared" si="30"/>
        <v>0</v>
      </c>
      <c r="CU22" s="162">
        <f t="shared" si="31"/>
        <v>0</v>
      </c>
      <c r="CV22" s="162">
        <f t="shared" si="32"/>
        <v>0</v>
      </c>
      <c r="CW22" s="162">
        <f t="shared" si="33"/>
        <v>0</v>
      </c>
      <c r="CX22" s="162">
        <f t="shared" si="34"/>
        <v>0</v>
      </c>
      <c r="CY22" s="162">
        <f t="shared" si="35"/>
        <v>0</v>
      </c>
      <c r="CZ22" s="162">
        <f t="shared" si="36"/>
        <v>0</v>
      </c>
      <c r="DA22" s="162">
        <f t="shared" si="37"/>
        <v>0</v>
      </c>
      <c r="DB22" s="163">
        <f t="shared" si="43"/>
        <v>0</v>
      </c>
      <c r="DC22" s="1">
        <f t="shared" si="38"/>
        <v>0</v>
      </c>
      <c r="DD22" s="153">
        <f t="shared" si="44"/>
        <v>15</v>
      </c>
      <c r="DE22" s="153">
        <f t="shared" si="45"/>
        <v>1</v>
      </c>
      <c r="DF22" s="153">
        <f t="shared" si="39"/>
        <v>0</v>
      </c>
      <c r="DG22" s="153">
        <f t="shared" si="46"/>
        <v>15</v>
      </c>
      <c r="DH22" s="1">
        <f t="shared" si="40"/>
        <v>0</v>
      </c>
      <c r="DI22" s="5">
        <f t="shared" si="47"/>
        <v>0</v>
      </c>
    </row>
    <row r="23" spans="2:113" ht="19.5" customHeight="1">
      <c r="B23" s="46">
        <f>IF(AND(D22=D23,E22=E23,F22=F23),"","19.")</f>
      </c>
      <c r="C23" s="7" t="str">
        <f t="shared" si="48"/>
        <v>Spieler 19</v>
      </c>
      <c r="D23" s="48">
        <f t="shared" si="49"/>
        <v>0</v>
      </c>
      <c r="E23" s="54">
        <f t="shared" si="50"/>
      </c>
      <c r="F23" s="62" t="str">
        <f t="shared" si="51"/>
        <v> </v>
      </c>
      <c r="I23" s="46">
        <f t="shared" si="52"/>
        <v>19</v>
      </c>
      <c r="J23" s="47" t="str">
        <f>'Kreuztabelle 20'!C49</f>
        <v>Spieler 19</v>
      </c>
      <c r="K23" s="48">
        <f>IF(COUNT('Kreuztabelle 20'!D49:'Kreuztabelle 20'!W49)&gt;0,COUNT('Kreuztabelle 20'!D49:'Kreuztabelle 20'!W49),0)</f>
        <v>0</v>
      </c>
      <c r="L23" s="54">
        <f>'Kreuztabelle 20'!Y49</f>
      </c>
      <c r="M23" s="62" t="str">
        <f>'Kreuztabelle 20'!X49</f>
        <v> </v>
      </c>
      <c r="N23">
        <f>IF(M23=" ",0.02,M23*100000+L23*1000-K23+0.02)</f>
        <v>0.02</v>
      </c>
      <c r="O23" s="64">
        <f t="shared" si="54"/>
        <v>20</v>
      </c>
      <c r="P23" s="64" t="e">
        <f>IF(AND(D22=D23,E22=E23,F22=F23),P22,19)</f>
        <v>#VALUE!</v>
      </c>
      <c r="Q23" s="65" t="e">
        <f>IF(O23=1,P23&amp;".",P23&amp;".- "&amp;(P23+O23-1)&amp;".")</f>
        <v>#VALUE!</v>
      </c>
      <c r="R23" s="65" t="str">
        <f t="shared" si="42"/>
        <v> </v>
      </c>
      <c r="T23" s="1">
        <v>19</v>
      </c>
      <c r="AA23" t="str">
        <f>Eingabe!G15</f>
        <v>Spieler 20 / spielfrei</v>
      </c>
      <c r="AB23" s="1">
        <f>IF(Eingabe!I15=" ",0,Eingabe!I15)</f>
        <v>0</v>
      </c>
      <c r="AC23" s="1">
        <f>IF(Eingabe!H15=5,5,IF(Eingabe!H15=10,10,15))</f>
        <v>15</v>
      </c>
      <c r="AD23" s="160">
        <f>$AB$4</f>
        <v>0</v>
      </c>
      <c r="AE23" s="3">
        <f>$AB$22</f>
        <v>0</v>
      </c>
      <c r="AF23" s="3">
        <f>$AB$21</f>
        <v>0</v>
      </c>
      <c r="AG23" s="3">
        <f>$AB$20</f>
        <v>0</v>
      </c>
      <c r="AH23" s="3">
        <f>$AB$19</f>
        <v>0</v>
      </c>
      <c r="AI23" s="3">
        <f>$AB$18</f>
        <v>0</v>
      </c>
      <c r="AJ23" s="3">
        <f>$AB$17</f>
        <v>0</v>
      </c>
      <c r="AK23" s="3">
        <f>$AB$16</f>
        <v>0</v>
      </c>
      <c r="AL23" s="3">
        <f>$AB$15</f>
        <v>0</v>
      </c>
      <c r="AM23" s="3">
        <f>$AB$14</f>
        <v>0</v>
      </c>
      <c r="AN23" s="3">
        <f>$AB$13</f>
        <v>0</v>
      </c>
      <c r="AO23" s="3">
        <f>$AB$12</f>
        <v>0</v>
      </c>
      <c r="AP23" s="3">
        <f>$AB$11</f>
        <v>0</v>
      </c>
      <c r="AQ23" s="3">
        <f>$AB$10</f>
        <v>0</v>
      </c>
      <c r="AR23" s="3">
        <f>$AB$9</f>
        <v>0</v>
      </c>
      <c r="AS23" s="3">
        <f>$AB$8</f>
        <v>0</v>
      </c>
      <c r="AT23" s="3">
        <f>$AB$7</f>
        <v>0</v>
      </c>
      <c r="AU23" s="3">
        <f>$AB$6</f>
        <v>0</v>
      </c>
      <c r="AV23" s="3">
        <f>$AB$5</f>
        <v>0</v>
      </c>
      <c r="AW23" s="160" t="str">
        <f>'20 Spieler'!$I$12</f>
        <v> </v>
      </c>
      <c r="AX23" s="3" t="str">
        <f>'20 Spieler'!$Q$12</f>
        <v> </v>
      </c>
      <c r="AY23" s="3" t="str">
        <f>'20 Spieler'!$Y$12</f>
        <v> </v>
      </c>
      <c r="AZ23" s="3" t="str">
        <f>'20 Spieler'!$AG$12</f>
        <v> </v>
      </c>
      <c r="BA23" s="3" t="str">
        <f>'20 Spieler'!$AO$12</f>
        <v> </v>
      </c>
      <c r="BB23" s="3" t="str">
        <f>'20 Spieler'!$I$26</f>
        <v> </v>
      </c>
      <c r="BC23" s="3" t="str">
        <f>'20 Spieler'!$Q$26</f>
        <v> </v>
      </c>
      <c r="BD23" s="3" t="str">
        <f>'20 Spieler'!$Y$26</f>
        <v> </v>
      </c>
      <c r="BE23" s="3" t="str">
        <f>'20 Spieler'!$AG$26</f>
        <v> </v>
      </c>
      <c r="BF23" s="3" t="str">
        <f>'20 Spieler'!$AO$26</f>
        <v> </v>
      </c>
      <c r="BG23" s="3" t="str">
        <f>'20 Spieler'!$I$40</f>
        <v> </v>
      </c>
      <c r="BH23" s="3" t="str">
        <f>'20 Spieler'!$Q$40</f>
        <v> </v>
      </c>
      <c r="BI23" s="3" t="str">
        <f>'20 Spieler'!$Y$40</f>
        <v> </v>
      </c>
      <c r="BJ23" s="3" t="str">
        <f>'20 Spieler'!$AG$40</f>
        <v> </v>
      </c>
      <c r="BK23" s="3" t="str">
        <f>'20 Spieler'!$AO$40</f>
        <v> </v>
      </c>
      <c r="BL23" s="3" t="str">
        <f>'20 Spieler'!$I$54</f>
        <v> </v>
      </c>
      <c r="BM23" s="3" t="str">
        <f>'20 Spieler'!$Q$54</f>
        <v> </v>
      </c>
      <c r="BN23" s="3" t="str">
        <f>'20 Spieler'!$Y$54</f>
        <v> </v>
      </c>
      <c r="BO23" s="3" t="str">
        <f>'20 Spieler'!$AG$54</f>
        <v> </v>
      </c>
      <c r="BP23" s="160" t="str">
        <f t="shared" si="0"/>
        <v> </v>
      </c>
      <c r="BQ23" s="3" t="str">
        <f t="shared" si="1"/>
        <v> </v>
      </c>
      <c r="BR23" s="3" t="str">
        <f t="shared" si="2"/>
        <v> </v>
      </c>
      <c r="BS23" s="3" t="str">
        <f t="shared" si="3"/>
        <v> </v>
      </c>
      <c r="BT23" s="3" t="str">
        <f t="shared" si="4"/>
        <v> </v>
      </c>
      <c r="BU23" s="3" t="str">
        <f t="shared" si="5"/>
        <v> </v>
      </c>
      <c r="BV23" s="3" t="str">
        <f t="shared" si="6"/>
        <v> </v>
      </c>
      <c r="BW23" s="3" t="str">
        <f t="shared" si="7"/>
        <v> </v>
      </c>
      <c r="BX23" s="3" t="str">
        <f t="shared" si="8"/>
        <v> </v>
      </c>
      <c r="BY23" s="3" t="str">
        <f t="shared" si="9"/>
        <v> </v>
      </c>
      <c r="BZ23" s="3" t="str">
        <f t="shared" si="10"/>
        <v> </v>
      </c>
      <c r="CA23" s="3" t="str">
        <f t="shared" si="11"/>
        <v> </v>
      </c>
      <c r="CB23" s="3" t="str">
        <f t="shared" si="12"/>
        <v> </v>
      </c>
      <c r="CC23" s="3" t="str">
        <f t="shared" si="13"/>
        <v> </v>
      </c>
      <c r="CD23" s="3" t="str">
        <f t="shared" si="14"/>
        <v> </v>
      </c>
      <c r="CE23" s="3" t="str">
        <f t="shared" si="15"/>
        <v> </v>
      </c>
      <c r="CF23" s="3" t="str">
        <f t="shared" si="16"/>
        <v> </v>
      </c>
      <c r="CG23" s="3" t="str">
        <f t="shared" si="17"/>
        <v> </v>
      </c>
      <c r="CH23" s="3" t="str">
        <f t="shared" si="18"/>
        <v> </v>
      </c>
      <c r="CI23" s="161">
        <f t="shared" si="19"/>
        <v>0</v>
      </c>
      <c r="CJ23" s="162">
        <f t="shared" si="20"/>
        <v>0</v>
      </c>
      <c r="CK23" s="162">
        <f t="shared" si="21"/>
        <v>0</v>
      </c>
      <c r="CL23" s="162">
        <f t="shared" si="22"/>
        <v>0</v>
      </c>
      <c r="CM23" s="162">
        <f t="shared" si="23"/>
        <v>0</v>
      </c>
      <c r="CN23" s="162">
        <f t="shared" si="24"/>
        <v>0</v>
      </c>
      <c r="CO23" s="162">
        <f t="shared" si="25"/>
        <v>0</v>
      </c>
      <c r="CP23" s="162">
        <f t="shared" si="26"/>
        <v>0</v>
      </c>
      <c r="CQ23" s="162">
        <f t="shared" si="27"/>
        <v>0</v>
      </c>
      <c r="CR23" s="162">
        <f t="shared" si="28"/>
        <v>0</v>
      </c>
      <c r="CS23" s="162">
        <f t="shared" si="29"/>
        <v>0</v>
      </c>
      <c r="CT23" s="162">
        <f t="shared" si="30"/>
        <v>0</v>
      </c>
      <c r="CU23" s="162">
        <f t="shared" si="31"/>
        <v>0</v>
      </c>
      <c r="CV23" s="162">
        <f t="shared" si="32"/>
        <v>0</v>
      </c>
      <c r="CW23" s="162">
        <f t="shared" si="33"/>
        <v>0</v>
      </c>
      <c r="CX23" s="162">
        <f t="shared" si="34"/>
        <v>0</v>
      </c>
      <c r="CY23" s="162">
        <f t="shared" si="35"/>
        <v>0</v>
      </c>
      <c r="CZ23" s="162">
        <f t="shared" si="36"/>
        <v>0</v>
      </c>
      <c r="DA23" s="162">
        <f t="shared" si="37"/>
        <v>0</v>
      </c>
      <c r="DB23" s="163">
        <f t="shared" si="43"/>
        <v>0</v>
      </c>
      <c r="DC23" s="1">
        <f t="shared" si="38"/>
        <v>0</v>
      </c>
      <c r="DD23" s="153">
        <f t="shared" si="44"/>
        <v>15</v>
      </c>
      <c r="DE23" s="153">
        <f t="shared" si="45"/>
        <v>1</v>
      </c>
      <c r="DF23" s="153">
        <f t="shared" si="39"/>
        <v>0</v>
      </c>
      <c r="DG23" s="153">
        <f t="shared" si="46"/>
        <v>15</v>
      </c>
      <c r="DH23" s="1">
        <f t="shared" si="40"/>
        <v>0</v>
      </c>
      <c r="DI23" s="5">
        <f>IF(Eingabe!G15="spielfrei",-999,IF(AB23=0,0,IF(DC23=0,AB23,ROUND(AB23+800*(DH23-DB23)/(DG23+DC23),0))))</f>
        <v>0</v>
      </c>
    </row>
    <row r="24" spans="2:113" ht="19.5" customHeight="1" thickBot="1">
      <c r="B24" s="49">
        <f>IF(Eingabe!G15="spielfrei","",IF(AND(D23=D24,E23=E24,F23=F24),"","20."))</f>
      </c>
      <c r="C24" s="59" t="str">
        <f t="shared" si="48"/>
        <v>Spieler 20 / spielfrei</v>
      </c>
      <c r="D24" s="51">
        <f t="shared" si="49"/>
        <v>0</v>
      </c>
      <c r="E24" s="55">
        <f t="shared" si="50"/>
      </c>
      <c r="F24" s="63" t="str">
        <f t="shared" si="51"/>
        <v> </v>
      </c>
      <c r="I24" s="49">
        <f t="shared" si="52"/>
        <v>20</v>
      </c>
      <c r="J24" s="50" t="str">
        <f>'Kreuztabelle 20'!C50</f>
        <v>Spieler 20 / spielfrei</v>
      </c>
      <c r="K24" s="51">
        <f>IF(COUNT('Kreuztabelle 20'!D50:'Kreuztabelle 20'!W50)&gt;0,COUNT('Kreuztabelle 20'!D50:'Kreuztabelle 20'!W50),0)</f>
        <v>0</v>
      </c>
      <c r="L24" s="55">
        <f>IF(Eingabe!G15="spielfrei",-0.001,'Kreuztabelle 20'!Y50)</f>
      </c>
      <c r="M24" s="63" t="str">
        <f>'Kreuztabelle 20'!X50</f>
        <v> </v>
      </c>
      <c r="N24">
        <f>IF(M24=" ",0.01,M24*100000+L24*1000-K24+0.01)</f>
        <v>0.01</v>
      </c>
      <c r="O24" s="64">
        <f t="shared" si="54"/>
        <v>20</v>
      </c>
      <c r="P24" s="64" t="e">
        <f>IF(AND(D23=D24,E23=E24,F23=F24),P23,20)</f>
        <v>#VALUE!</v>
      </c>
      <c r="Q24" s="65" t="e">
        <f>IF(O24=1,P24&amp;".",P24&amp;".- "&amp;(P24+O24-1)&amp;".")</f>
        <v>#VALUE!</v>
      </c>
      <c r="R24" s="65" t="str">
        <f t="shared" si="42"/>
        <v> </v>
      </c>
      <c r="T24" s="1">
        <v>20</v>
      </c>
      <c r="AA24" s="164"/>
      <c r="AB24" s="165"/>
      <c r="AC24" s="165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</row>
    <row r="25" spans="2:10" ht="19.5" customHeight="1">
      <c r="B25" s="2"/>
      <c r="C25" s="2"/>
      <c r="I25" s="2"/>
      <c r="J25" s="2"/>
    </row>
    <row r="26" ht="19.5" customHeight="1"/>
    <row r="27" ht="19.5" customHeight="1" thickBot="1"/>
    <row r="28" spans="2:13" ht="19.5" customHeight="1">
      <c r="B28" s="40"/>
      <c r="C28" s="80" t="s">
        <v>67</v>
      </c>
      <c r="D28" s="42"/>
      <c r="E28" s="42"/>
      <c r="F28" s="43"/>
      <c r="I28" s="40"/>
      <c r="J28" s="41"/>
      <c r="K28" s="42"/>
      <c r="L28" s="42"/>
      <c r="M28" s="43"/>
    </row>
    <row r="29" spans="2:13" ht="19.5" customHeight="1">
      <c r="B29" s="44"/>
      <c r="C29" s="81" t="str">
        <f>J29</f>
        <v>Stand nach der 0. Runde</v>
      </c>
      <c r="D29" s="45"/>
      <c r="E29" s="144" t="s">
        <v>68</v>
      </c>
      <c r="F29" s="53" t="s">
        <v>69</v>
      </c>
      <c r="I29" s="44"/>
      <c r="J29" s="37" t="str">
        <f>IF(EXACT("spielfrei",Eingabe!G15)=TRUE,Q4,R4)</f>
        <v>Stand nach der 0. Runde</v>
      </c>
      <c r="K29" s="45"/>
      <c r="L29" s="144" t="s">
        <v>68</v>
      </c>
      <c r="M29" s="53" t="s">
        <v>69</v>
      </c>
    </row>
    <row r="30" spans="2:20" ht="19.5" customHeight="1">
      <c r="B30" s="46" t="str">
        <f>IF(SUM(E30:E49)=0," ","1.")</f>
        <v> </v>
      </c>
      <c r="C30" s="47" t="str">
        <f>VLOOKUP($T30,$I$30:$M$49,2,FALSE)</f>
        <v>Spieler 1</v>
      </c>
      <c r="D30" s="48">
        <f>VLOOKUP($T30,$I$30:$M$49,3,FALSE)</f>
        <v>0</v>
      </c>
      <c r="E30" s="145">
        <f>VLOOKUP($T30,$I$30:$M$49,4,FALSE)</f>
        <v>0</v>
      </c>
      <c r="F30" s="146">
        <f>VLOOKUP($T30,$I$30:$M$49,5,FALSE)</f>
        <v>0</v>
      </c>
      <c r="I30" s="46">
        <f>RANK(N30,$N$30:$N$49,0)</f>
        <v>1</v>
      </c>
      <c r="J30" s="47" t="str">
        <f>'Kreuztabelle 20'!C31</f>
        <v>Spieler 1</v>
      </c>
      <c r="K30" s="48">
        <f>IF(COUNT('Kreuztabelle 20'!D31:'Kreuztabelle 20'!W31)&gt;0,COUNT('Kreuztabelle 20'!D31:'Kreuztabelle 20'!W31),0)</f>
        <v>0</v>
      </c>
      <c r="L30" s="145">
        <f>DI4</f>
        <v>0</v>
      </c>
      <c r="M30" s="146">
        <f>DI4-AB4</f>
        <v>0</v>
      </c>
      <c r="N30">
        <f>IF(M30=" ",0.1,M30*10000+L30+0.2)</f>
        <v>0.2</v>
      </c>
      <c r="O30" s="147"/>
      <c r="P30" s="147"/>
      <c r="T30" s="1">
        <v>1</v>
      </c>
    </row>
    <row r="31" spans="2:20" ht="19.5" customHeight="1">
      <c r="B31" s="46">
        <f>IF(AND(D30=D31,E30=E31,F30=F31),"","2.")</f>
      </c>
      <c r="C31" s="47" t="str">
        <f aca="true" t="shared" si="55" ref="C31:C48">VLOOKUP($T31,$I$30:$M$49,2,FALSE)</f>
        <v>Spieler 2</v>
      </c>
      <c r="D31" s="48">
        <f aca="true" t="shared" si="56" ref="D31:D48">VLOOKUP($T31,$I$30:$M$49,3,FALSE)</f>
        <v>0</v>
      </c>
      <c r="E31" s="145">
        <f aca="true" t="shared" si="57" ref="E31:E48">VLOOKUP($T31,$I$30:$M$49,4,FALSE)</f>
        <v>0</v>
      </c>
      <c r="F31" s="146">
        <f aca="true" t="shared" si="58" ref="F31:F48">VLOOKUP($T31,$I$30:$M$49,5,FALSE)</f>
        <v>0</v>
      </c>
      <c r="I31" s="46">
        <f aca="true" t="shared" si="59" ref="I31:I49">RANK(N31,$N$30:$N$49,0)</f>
        <v>2</v>
      </c>
      <c r="J31" s="47" t="str">
        <f>'Kreuztabelle 20'!C32</f>
        <v>Spieler 2</v>
      </c>
      <c r="K31" s="48">
        <f>IF(COUNT('Kreuztabelle 20'!D32:'Kreuztabelle 20'!W32)&gt;0,COUNT('Kreuztabelle 20'!D32:'Kreuztabelle 20'!W32),0)</f>
        <v>0</v>
      </c>
      <c r="L31" s="145">
        <f aca="true" t="shared" si="60" ref="L31:L49">DI5</f>
        <v>0</v>
      </c>
      <c r="M31" s="146">
        <f aca="true" t="shared" si="61" ref="M31:M49">DI5-AB5</f>
        <v>0</v>
      </c>
      <c r="N31">
        <f>IF(M31=" ",0.1,M31*10000+L31+0.19)</f>
        <v>0.19</v>
      </c>
      <c r="O31" s="147"/>
      <c r="P31" s="147"/>
      <c r="T31" s="1">
        <v>2</v>
      </c>
    </row>
    <row r="32" spans="2:20" ht="19.5" customHeight="1">
      <c r="B32" s="46">
        <f>IF(AND(D31=D32,E31=E32,F31=F32),"","3.")</f>
      </c>
      <c r="C32" s="47" t="str">
        <f t="shared" si="55"/>
        <v>Spieler 3</v>
      </c>
      <c r="D32" s="48">
        <f t="shared" si="56"/>
        <v>0</v>
      </c>
      <c r="E32" s="145">
        <f t="shared" si="57"/>
        <v>0</v>
      </c>
      <c r="F32" s="146">
        <f t="shared" si="58"/>
        <v>0</v>
      </c>
      <c r="I32" s="46">
        <f t="shared" si="59"/>
        <v>3</v>
      </c>
      <c r="J32" s="47" t="str">
        <f>'Kreuztabelle 20'!C33</f>
        <v>Spieler 3</v>
      </c>
      <c r="K32" s="48">
        <f>IF(COUNT('Kreuztabelle 20'!D33:'Kreuztabelle 20'!W33)&gt;0,COUNT('Kreuztabelle 20'!D33:'Kreuztabelle 20'!W33),0)</f>
        <v>0</v>
      </c>
      <c r="L32" s="145">
        <f t="shared" si="60"/>
        <v>0</v>
      </c>
      <c r="M32" s="146">
        <f t="shared" si="61"/>
        <v>0</v>
      </c>
      <c r="N32">
        <f>IF(M32=" ",0.1,M32*10000+L32+0.18)</f>
        <v>0.18</v>
      </c>
      <c r="O32" s="147"/>
      <c r="P32" s="147"/>
      <c r="T32" s="1">
        <v>3</v>
      </c>
    </row>
    <row r="33" spans="2:20" ht="19.5" customHeight="1">
      <c r="B33" s="46">
        <f>IF(AND(D32=D33,E32=E33,F32=F33),"","4.")</f>
      </c>
      <c r="C33" s="47" t="str">
        <f t="shared" si="55"/>
        <v>Spieler 4</v>
      </c>
      <c r="D33" s="48">
        <f t="shared" si="56"/>
        <v>0</v>
      </c>
      <c r="E33" s="145">
        <f t="shared" si="57"/>
        <v>0</v>
      </c>
      <c r="F33" s="146">
        <f t="shared" si="58"/>
        <v>0</v>
      </c>
      <c r="I33" s="46">
        <f t="shared" si="59"/>
        <v>4</v>
      </c>
      <c r="J33" s="47" t="str">
        <f>'Kreuztabelle 20'!C34</f>
        <v>Spieler 4</v>
      </c>
      <c r="K33" s="48">
        <f>IF(COUNT('Kreuztabelle 20'!D34:'Kreuztabelle 20'!W34)&gt;0,COUNT('Kreuztabelle 20'!D34:'Kreuztabelle 20'!W34),0)</f>
        <v>0</v>
      </c>
      <c r="L33" s="145">
        <f t="shared" si="60"/>
        <v>0</v>
      </c>
      <c r="M33" s="146">
        <f t="shared" si="61"/>
        <v>0</v>
      </c>
      <c r="N33">
        <f>IF(M33=" ",0.1,M33*10000+L33+0.17)</f>
        <v>0.17</v>
      </c>
      <c r="O33" s="147"/>
      <c r="P33" s="147"/>
      <c r="T33" s="1">
        <v>4</v>
      </c>
    </row>
    <row r="34" spans="2:20" ht="19.5" customHeight="1">
      <c r="B34" s="46">
        <f>IF(AND(D33=D34,E33=E34,F33=F34),"","5.")</f>
      </c>
      <c r="C34" s="47" t="str">
        <f t="shared" si="55"/>
        <v>Spieler 5</v>
      </c>
      <c r="D34" s="48">
        <f t="shared" si="56"/>
        <v>0</v>
      </c>
      <c r="E34" s="145">
        <f t="shared" si="57"/>
        <v>0</v>
      </c>
      <c r="F34" s="146">
        <f t="shared" si="58"/>
        <v>0</v>
      </c>
      <c r="I34" s="46">
        <f t="shared" si="59"/>
        <v>5</v>
      </c>
      <c r="J34" s="47" t="str">
        <f>'Kreuztabelle 20'!C35</f>
        <v>Spieler 5</v>
      </c>
      <c r="K34" s="48">
        <f>IF(COUNT('Kreuztabelle 20'!D35:'Kreuztabelle 20'!W35)&gt;0,COUNT('Kreuztabelle 20'!D35:'Kreuztabelle 20'!W35),0)</f>
        <v>0</v>
      </c>
      <c r="L34" s="145">
        <f t="shared" si="60"/>
        <v>0</v>
      </c>
      <c r="M34" s="146">
        <f t="shared" si="61"/>
        <v>0</v>
      </c>
      <c r="N34">
        <f>IF(M34=" ",0.1,M34*10000+L34+0.16)</f>
        <v>0.16</v>
      </c>
      <c r="O34" s="147"/>
      <c r="P34" s="147"/>
      <c r="T34" s="1">
        <v>5</v>
      </c>
    </row>
    <row r="35" spans="2:20" ht="19.5" customHeight="1">
      <c r="B35" s="46">
        <f>IF(AND(D34=D35,E34=E35,F34=F35),"","6.")</f>
      </c>
      <c r="C35" s="47" t="str">
        <f t="shared" si="55"/>
        <v>Spieler 6</v>
      </c>
      <c r="D35" s="48">
        <f t="shared" si="56"/>
        <v>0</v>
      </c>
      <c r="E35" s="145">
        <f t="shared" si="57"/>
        <v>0</v>
      </c>
      <c r="F35" s="146">
        <f t="shared" si="58"/>
        <v>0</v>
      </c>
      <c r="I35" s="46">
        <f t="shared" si="59"/>
        <v>6</v>
      </c>
      <c r="J35" s="47" t="str">
        <f>'Kreuztabelle 20'!C36</f>
        <v>Spieler 6</v>
      </c>
      <c r="K35" s="48">
        <f>IF(COUNT('Kreuztabelle 20'!D36:'Kreuztabelle 20'!W36)&gt;0,COUNT('Kreuztabelle 20'!D36:'Kreuztabelle 20'!W36),0)</f>
        <v>0</v>
      </c>
      <c r="L35" s="145">
        <f t="shared" si="60"/>
        <v>0</v>
      </c>
      <c r="M35" s="146">
        <f t="shared" si="61"/>
        <v>0</v>
      </c>
      <c r="N35">
        <f>IF(M35=" ",0.1,M35*10000+L35+0.15)</f>
        <v>0.15</v>
      </c>
      <c r="O35" s="147"/>
      <c r="P35" s="147"/>
      <c r="T35" s="1">
        <v>6</v>
      </c>
    </row>
    <row r="36" spans="2:20" ht="19.5" customHeight="1">
      <c r="B36" s="46">
        <f>IF(AND(D35=D36,E35=E36,F35=F36),"","7.")</f>
      </c>
      <c r="C36" s="47" t="str">
        <f t="shared" si="55"/>
        <v>Spieler 7</v>
      </c>
      <c r="D36" s="48">
        <f t="shared" si="56"/>
        <v>0</v>
      </c>
      <c r="E36" s="145">
        <f t="shared" si="57"/>
        <v>0</v>
      </c>
      <c r="F36" s="146">
        <f t="shared" si="58"/>
        <v>0</v>
      </c>
      <c r="I36" s="46">
        <f t="shared" si="59"/>
        <v>7</v>
      </c>
      <c r="J36" s="47" t="str">
        <f>'Kreuztabelle 20'!C37</f>
        <v>Spieler 7</v>
      </c>
      <c r="K36" s="48">
        <f>IF(COUNT('Kreuztabelle 20'!D37:'Kreuztabelle 20'!W37)&gt;0,COUNT('Kreuztabelle 20'!D37:'Kreuztabelle 20'!W37),0)</f>
        <v>0</v>
      </c>
      <c r="L36" s="145">
        <f t="shared" si="60"/>
        <v>0</v>
      </c>
      <c r="M36" s="146">
        <f t="shared" si="61"/>
        <v>0</v>
      </c>
      <c r="N36">
        <f>IF(M36=" ",0.1,M36*10000+L36+0.14)</f>
        <v>0.14</v>
      </c>
      <c r="O36" s="147"/>
      <c r="P36" s="147"/>
      <c r="T36" s="1">
        <v>7</v>
      </c>
    </row>
    <row r="37" spans="2:20" ht="19.5" customHeight="1">
      <c r="B37" s="46">
        <f>IF(AND(D36=D37,E36=E37,F36=F37),"","8.")</f>
      </c>
      <c r="C37" s="47" t="str">
        <f t="shared" si="55"/>
        <v>Spieler 8</v>
      </c>
      <c r="D37" s="48">
        <f t="shared" si="56"/>
        <v>0</v>
      </c>
      <c r="E37" s="145">
        <f t="shared" si="57"/>
        <v>0</v>
      </c>
      <c r="F37" s="146">
        <f t="shared" si="58"/>
        <v>0</v>
      </c>
      <c r="I37" s="46">
        <f t="shared" si="59"/>
        <v>8</v>
      </c>
      <c r="J37" s="47" t="str">
        <f>'Kreuztabelle 20'!C38</f>
        <v>Spieler 8</v>
      </c>
      <c r="K37" s="48">
        <f>IF(COUNT('Kreuztabelle 20'!D38:'Kreuztabelle 20'!W38)&gt;0,COUNT('Kreuztabelle 20'!D38:'Kreuztabelle 20'!W38),0)</f>
        <v>0</v>
      </c>
      <c r="L37" s="145">
        <f t="shared" si="60"/>
        <v>0</v>
      </c>
      <c r="M37" s="146">
        <f t="shared" si="61"/>
        <v>0</v>
      </c>
      <c r="N37">
        <f>IF(M37=" ",0.1,M37*10000+L37+0.13)</f>
        <v>0.13</v>
      </c>
      <c r="O37" s="147"/>
      <c r="P37" s="147"/>
      <c r="T37" s="1">
        <v>8</v>
      </c>
    </row>
    <row r="38" spans="2:20" ht="19.5" customHeight="1">
      <c r="B38" s="46">
        <f>IF(AND(D37=D38,E37=E38,F37=F38),"","9.")</f>
      </c>
      <c r="C38" s="47" t="str">
        <f t="shared" si="55"/>
        <v>Spieler 9</v>
      </c>
      <c r="D38" s="48">
        <f t="shared" si="56"/>
        <v>0</v>
      </c>
      <c r="E38" s="145">
        <f t="shared" si="57"/>
        <v>0</v>
      </c>
      <c r="F38" s="146">
        <f t="shared" si="58"/>
        <v>0</v>
      </c>
      <c r="I38" s="46">
        <f t="shared" si="59"/>
        <v>9</v>
      </c>
      <c r="J38" s="47" t="str">
        <f>'Kreuztabelle 20'!C39</f>
        <v>Spieler 9</v>
      </c>
      <c r="K38" s="48">
        <f>IF(COUNT('Kreuztabelle 20'!D39:'Kreuztabelle 20'!W39)&gt;0,COUNT('Kreuztabelle 20'!D39:'Kreuztabelle 20'!W39),0)</f>
        <v>0</v>
      </c>
      <c r="L38" s="145">
        <f t="shared" si="60"/>
        <v>0</v>
      </c>
      <c r="M38" s="146">
        <f t="shared" si="61"/>
        <v>0</v>
      </c>
      <c r="N38">
        <f>IF(M38=" ",0.1,M38*10000+L38+0.12)</f>
        <v>0.12</v>
      </c>
      <c r="O38" s="147"/>
      <c r="P38" s="147"/>
      <c r="T38" s="1">
        <v>9</v>
      </c>
    </row>
    <row r="39" spans="2:20" ht="19.5" customHeight="1">
      <c r="B39" s="46">
        <f>IF(AND(D38=D39,E38=E39,F38=F39),"","10.")</f>
      </c>
      <c r="C39" s="47" t="str">
        <f t="shared" si="55"/>
        <v>Spieler 10</v>
      </c>
      <c r="D39" s="48">
        <f t="shared" si="56"/>
        <v>0</v>
      </c>
      <c r="E39" s="145">
        <f t="shared" si="57"/>
        <v>0</v>
      </c>
      <c r="F39" s="146">
        <f t="shared" si="58"/>
        <v>0</v>
      </c>
      <c r="I39" s="46">
        <f t="shared" si="59"/>
        <v>10</v>
      </c>
      <c r="J39" s="47" t="str">
        <f>'Kreuztabelle 20'!C40</f>
        <v>Spieler 10</v>
      </c>
      <c r="K39" s="48">
        <f>IF(COUNT('Kreuztabelle 20'!D40:'Kreuztabelle 20'!W40)&gt;0,COUNT('Kreuztabelle 20'!D40:'Kreuztabelle 20'!W40),0)</f>
        <v>0</v>
      </c>
      <c r="L39" s="145">
        <f t="shared" si="60"/>
        <v>0</v>
      </c>
      <c r="M39" s="146">
        <f t="shared" si="61"/>
        <v>0</v>
      </c>
      <c r="N39">
        <f>IF(M39=" ",0.1,M39*10000+L39+0.11)</f>
        <v>0.11</v>
      </c>
      <c r="O39" s="147"/>
      <c r="P39" s="147"/>
      <c r="T39" s="1">
        <v>10</v>
      </c>
    </row>
    <row r="40" spans="2:20" ht="19.5" customHeight="1">
      <c r="B40" s="46">
        <f>IF(AND(D39=D40,E39=E40,F39=F40),"","11.")</f>
      </c>
      <c r="C40" s="47" t="str">
        <f t="shared" si="55"/>
        <v>Spieler 11</v>
      </c>
      <c r="D40" s="48">
        <f t="shared" si="56"/>
        <v>0</v>
      </c>
      <c r="E40" s="145">
        <f t="shared" si="57"/>
        <v>0</v>
      </c>
      <c r="F40" s="146">
        <f t="shared" si="58"/>
        <v>0</v>
      </c>
      <c r="I40" s="46">
        <f t="shared" si="59"/>
        <v>11</v>
      </c>
      <c r="J40" s="47" t="str">
        <f>'Kreuztabelle 20'!C41</f>
        <v>Spieler 11</v>
      </c>
      <c r="K40" s="48">
        <f>IF(COUNT('Kreuztabelle 20'!D41:'Kreuztabelle 20'!W41)&gt;0,COUNT('Kreuztabelle 20'!D41:'Kreuztabelle 20'!W41),0)</f>
        <v>0</v>
      </c>
      <c r="L40" s="145">
        <f t="shared" si="60"/>
        <v>0</v>
      </c>
      <c r="M40" s="146">
        <f t="shared" si="61"/>
        <v>0</v>
      </c>
      <c r="N40">
        <f>IF(M40=" ",0.1,M40*10000+L40+0.1)</f>
        <v>0.1</v>
      </c>
      <c r="O40" s="147"/>
      <c r="P40" s="147"/>
      <c r="T40" s="1">
        <v>11</v>
      </c>
    </row>
    <row r="41" spans="2:20" ht="19.5" customHeight="1">
      <c r="B41" s="46">
        <f>IF(AND(D40=D41,E40=E41,F40=F41),"","12.")</f>
      </c>
      <c r="C41" s="47" t="str">
        <f t="shared" si="55"/>
        <v>Spieler 12</v>
      </c>
      <c r="D41" s="48">
        <f t="shared" si="56"/>
        <v>0</v>
      </c>
      <c r="E41" s="145">
        <f t="shared" si="57"/>
        <v>0</v>
      </c>
      <c r="F41" s="146">
        <f t="shared" si="58"/>
        <v>0</v>
      </c>
      <c r="I41" s="46">
        <f t="shared" si="59"/>
        <v>12</v>
      </c>
      <c r="J41" s="47" t="str">
        <f>'Kreuztabelle 20'!C42</f>
        <v>Spieler 12</v>
      </c>
      <c r="K41" s="48">
        <f>IF(COUNT('Kreuztabelle 20'!D42:'Kreuztabelle 20'!W42)&gt;0,COUNT('Kreuztabelle 20'!D42:'Kreuztabelle 20'!W42),0)</f>
        <v>0</v>
      </c>
      <c r="L41" s="145">
        <f t="shared" si="60"/>
        <v>0</v>
      </c>
      <c r="M41" s="146">
        <f t="shared" si="61"/>
        <v>0</v>
      </c>
      <c r="N41">
        <f>IF(M41=" ",0.1,M41*10000+L41+0.09)</f>
        <v>0.09</v>
      </c>
      <c r="O41" s="147"/>
      <c r="P41" s="147"/>
      <c r="T41" s="1">
        <v>12</v>
      </c>
    </row>
    <row r="42" spans="2:20" ht="19.5" customHeight="1">
      <c r="B42" s="46">
        <f>IF(AND(D41=D42,E41=E42,F41=F42),"","13.")</f>
      </c>
      <c r="C42" s="47" t="str">
        <f t="shared" si="55"/>
        <v>Spieler 13</v>
      </c>
      <c r="D42" s="48">
        <f t="shared" si="56"/>
        <v>0</v>
      </c>
      <c r="E42" s="145">
        <f t="shared" si="57"/>
        <v>0</v>
      </c>
      <c r="F42" s="146">
        <f t="shared" si="58"/>
        <v>0</v>
      </c>
      <c r="I42" s="46">
        <f t="shared" si="59"/>
        <v>13</v>
      </c>
      <c r="J42" s="47" t="str">
        <f>'Kreuztabelle 20'!C43</f>
        <v>Spieler 13</v>
      </c>
      <c r="K42" s="48">
        <f>IF(COUNT('Kreuztabelle 20'!D43:'Kreuztabelle 20'!W43)&gt;0,COUNT('Kreuztabelle 20'!D43:'Kreuztabelle 20'!W43),0)</f>
        <v>0</v>
      </c>
      <c r="L42" s="145">
        <f t="shared" si="60"/>
        <v>0</v>
      </c>
      <c r="M42" s="146">
        <f t="shared" si="61"/>
        <v>0</v>
      </c>
      <c r="N42">
        <f>IF(M42=" ",0.1,M42*10000+L42+0.08)</f>
        <v>0.08</v>
      </c>
      <c r="O42" s="147"/>
      <c r="P42" s="147"/>
      <c r="T42" s="1">
        <v>13</v>
      </c>
    </row>
    <row r="43" spans="2:20" ht="19.5" customHeight="1">
      <c r="B43" s="46">
        <f>IF(AND(D42=D43,E42=E43,F42=F43),"","14.")</f>
      </c>
      <c r="C43" s="47" t="str">
        <f t="shared" si="55"/>
        <v>Spieler 14</v>
      </c>
      <c r="D43" s="48">
        <f t="shared" si="56"/>
        <v>0</v>
      </c>
      <c r="E43" s="145">
        <f t="shared" si="57"/>
        <v>0</v>
      </c>
      <c r="F43" s="146">
        <f t="shared" si="58"/>
        <v>0</v>
      </c>
      <c r="I43" s="46">
        <f t="shared" si="59"/>
        <v>14</v>
      </c>
      <c r="J43" s="47" t="str">
        <f>'Kreuztabelle 20'!C44</f>
        <v>Spieler 14</v>
      </c>
      <c r="K43" s="48">
        <f>IF(COUNT('Kreuztabelle 20'!D44:'Kreuztabelle 20'!W44)&gt;0,COUNT('Kreuztabelle 20'!D44:'Kreuztabelle 20'!W44),0)</f>
        <v>0</v>
      </c>
      <c r="L43" s="145">
        <f t="shared" si="60"/>
        <v>0</v>
      </c>
      <c r="M43" s="146">
        <f t="shared" si="61"/>
        <v>0</v>
      </c>
      <c r="N43">
        <f>IF(M43=" ",0.1,M43*10000+L43+0.07)</f>
        <v>0.07</v>
      </c>
      <c r="O43" s="147"/>
      <c r="P43" s="147"/>
      <c r="T43" s="1">
        <v>14</v>
      </c>
    </row>
    <row r="44" spans="2:20" ht="19.5" customHeight="1">
      <c r="B44" s="46">
        <f>IF(AND(D43=D44,E43=E44,F43=F44),"","15.")</f>
      </c>
      <c r="C44" s="47" t="str">
        <f t="shared" si="55"/>
        <v>Spieler 15</v>
      </c>
      <c r="D44" s="48">
        <f t="shared" si="56"/>
        <v>0</v>
      </c>
      <c r="E44" s="145">
        <f t="shared" si="57"/>
        <v>0</v>
      </c>
      <c r="F44" s="146">
        <f t="shared" si="58"/>
        <v>0</v>
      </c>
      <c r="I44" s="46">
        <f t="shared" si="59"/>
        <v>15</v>
      </c>
      <c r="J44" s="47" t="str">
        <f>'Kreuztabelle 20'!C45</f>
        <v>Spieler 15</v>
      </c>
      <c r="K44" s="48">
        <f>IF(COUNT('Kreuztabelle 20'!D45:'Kreuztabelle 20'!W45)&gt;0,COUNT('Kreuztabelle 20'!D45:'Kreuztabelle 20'!W45),0)</f>
        <v>0</v>
      </c>
      <c r="L44" s="145">
        <f t="shared" si="60"/>
        <v>0</v>
      </c>
      <c r="M44" s="146">
        <f t="shared" si="61"/>
        <v>0</v>
      </c>
      <c r="N44">
        <f>IF(M44=" ",0.1,M44*10000+L44+0.06)</f>
        <v>0.06</v>
      </c>
      <c r="O44" s="147"/>
      <c r="P44" s="147"/>
      <c r="T44" s="1">
        <v>15</v>
      </c>
    </row>
    <row r="45" spans="2:20" ht="19.5" customHeight="1">
      <c r="B45" s="46">
        <f>IF(AND(D44=D45,E44=E45,F44=F45),"","16.")</f>
      </c>
      <c r="C45" s="47" t="str">
        <f t="shared" si="55"/>
        <v>Spieler 16</v>
      </c>
      <c r="D45" s="48">
        <f t="shared" si="56"/>
        <v>0</v>
      </c>
      <c r="E45" s="145">
        <f t="shared" si="57"/>
        <v>0</v>
      </c>
      <c r="F45" s="146">
        <f t="shared" si="58"/>
        <v>0</v>
      </c>
      <c r="I45" s="46">
        <f t="shared" si="59"/>
        <v>16</v>
      </c>
      <c r="J45" s="47" t="str">
        <f>'Kreuztabelle 20'!C46</f>
        <v>Spieler 16</v>
      </c>
      <c r="K45" s="48">
        <f>IF(COUNT('Kreuztabelle 20'!D46:'Kreuztabelle 20'!W46)&gt;0,COUNT('Kreuztabelle 20'!D46:'Kreuztabelle 20'!W46),0)</f>
        <v>0</v>
      </c>
      <c r="L45" s="145">
        <f t="shared" si="60"/>
        <v>0</v>
      </c>
      <c r="M45" s="146">
        <f t="shared" si="61"/>
        <v>0</v>
      </c>
      <c r="N45">
        <f>IF(M45=" ",0.1,M45*10000+L45+0.05)</f>
        <v>0.05</v>
      </c>
      <c r="O45" s="147"/>
      <c r="P45" s="147"/>
      <c r="T45" s="1">
        <v>16</v>
      </c>
    </row>
    <row r="46" spans="2:20" ht="19.5" customHeight="1">
      <c r="B46" s="46">
        <f>IF(AND(D45=D46,E45=E46,F45=F46),"","17.")</f>
      </c>
      <c r="C46" s="47" t="str">
        <f t="shared" si="55"/>
        <v>Spieler 17</v>
      </c>
      <c r="D46" s="48">
        <f t="shared" si="56"/>
        <v>0</v>
      </c>
      <c r="E46" s="145">
        <f t="shared" si="57"/>
        <v>0</v>
      </c>
      <c r="F46" s="146">
        <f t="shared" si="58"/>
        <v>0</v>
      </c>
      <c r="I46" s="46">
        <f t="shared" si="59"/>
        <v>17</v>
      </c>
      <c r="J46" s="47" t="str">
        <f>'Kreuztabelle 20'!C47</f>
        <v>Spieler 17</v>
      </c>
      <c r="K46" s="48">
        <f>IF(COUNT('Kreuztabelle 20'!D47:'Kreuztabelle 20'!W47)&gt;0,COUNT('Kreuztabelle 20'!D47:'Kreuztabelle 20'!W47),0)</f>
        <v>0</v>
      </c>
      <c r="L46" s="145">
        <f t="shared" si="60"/>
        <v>0</v>
      </c>
      <c r="M46" s="146">
        <f t="shared" si="61"/>
        <v>0</v>
      </c>
      <c r="N46">
        <f>IF(M46=" ",0.1,M46*10000+L46+0.04)</f>
        <v>0.04</v>
      </c>
      <c r="O46" s="147"/>
      <c r="P46" s="147"/>
      <c r="T46" s="1">
        <v>17</v>
      </c>
    </row>
    <row r="47" spans="2:20" ht="19.5" customHeight="1">
      <c r="B47" s="46">
        <f>IF(AND(D46=D47,E46=E47,F46=F47),"","18.")</f>
      </c>
      <c r="C47" s="47" t="str">
        <f t="shared" si="55"/>
        <v>Spieler 18</v>
      </c>
      <c r="D47" s="48">
        <f t="shared" si="56"/>
        <v>0</v>
      </c>
      <c r="E47" s="145">
        <f t="shared" si="57"/>
        <v>0</v>
      </c>
      <c r="F47" s="146">
        <f t="shared" si="58"/>
        <v>0</v>
      </c>
      <c r="I47" s="46">
        <f t="shared" si="59"/>
        <v>18</v>
      </c>
      <c r="J47" s="47" t="str">
        <f>'Kreuztabelle 20'!C48</f>
        <v>Spieler 18</v>
      </c>
      <c r="K47" s="48">
        <f>IF(COUNT('Kreuztabelle 20'!D48:'Kreuztabelle 20'!W48)&gt;0,COUNT('Kreuztabelle 20'!D48:'Kreuztabelle 20'!W48),0)</f>
        <v>0</v>
      </c>
      <c r="L47" s="145">
        <f t="shared" si="60"/>
        <v>0</v>
      </c>
      <c r="M47" s="146">
        <f t="shared" si="61"/>
        <v>0</v>
      </c>
      <c r="N47">
        <f>IF(M47=" ",0.1,M47*10000+L47+0.03)</f>
        <v>0.03</v>
      </c>
      <c r="O47" s="147"/>
      <c r="P47" s="147"/>
      <c r="T47" s="1">
        <v>18</v>
      </c>
    </row>
    <row r="48" spans="2:20" ht="19.5" customHeight="1">
      <c r="B48" s="46">
        <f>IF(AND(D47=D48,E47=E48,F47=F48),"","19.")</f>
      </c>
      <c r="C48" s="47" t="str">
        <f t="shared" si="55"/>
        <v>Spieler 19</v>
      </c>
      <c r="D48" s="48">
        <f t="shared" si="56"/>
        <v>0</v>
      </c>
      <c r="E48" s="145">
        <f t="shared" si="57"/>
        <v>0</v>
      </c>
      <c r="F48" s="146">
        <f t="shared" si="58"/>
        <v>0</v>
      </c>
      <c r="I48" s="46">
        <f t="shared" si="59"/>
        <v>19</v>
      </c>
      <c r="J48" s="47" t="str">
        <f>'Kreuztabelle 20'!C49</f>
        <v>Spieler 19</v>
      </c>
      <c r="K48" s="48">
        <f>IF(COUNT('Kreuztabelle 20'!D49:'Kreuztabelle 20'!W49)&gt;0,COUNT('Kreuztabelle 20'!D49:'Kreuztabelle 20'!W49),0)</f>
        <v>0</v>
      </c>
      <c r="L48" s="145">
        <f t="shared" si="60"/>
        <v>0</v>
      </c>
      <c r="M48" s="146">
        <f t="shared" si="61"/>
        <v>0</v>
      </c>
      <c r="N48">
        <f>IF(M48=" ",0.1,M48*10000+L48+0.02)</f>
        <v>0.02</v>
      </c>
      <c r="O48" s="147"/>
      <c r="P48" s="147"/>
      <c r="T48" s="1">
        <v>19</v>
      </c>
    </row>
    <row r="49" spans="2:20" ht="19.5" customHeight="1" thickBot="1">
      <c r="B49" s="49">
        <f>IF(Eingabe!G15="spielfrei","",IF(AND(D48=D49,E48=E49,F48=F49),"","20."))</f>
      </c>
      <c r="C49" s="50" t="str">
        <f>IF(Eingabe!G15="spielfrei","",VLOOKUP($T49,$I$30:$M$49,2,FALSE))</f>
        <v>Spieler 20 / spielfrei</v>
      </c>
      <c r="D49" s="51">
        <f>IF(Eingabe!G15="spielfrei","",VLOOKUP($T49,$I$30:$M$49,3,FALSE))</f>
        <v>0</v>
      </c>
      <c r="E49" s="148">
        <f>IF(Eingabe!G15="spielfrei","",VLOOKUP($T49,$I$30:$M$49,4,FALSE))</f>
        <v>0</v>
      </c>
      <c r="F49" s="149">
        <f>IF(Eingabe!G15="spielfrei","",VLOOKUP($T49,$I$30:$M$49,5,FALSE))</f>
        <v>0</v>
      </c>
      <c r="I49" s="49">
        <f t="shared" si="59"/>
        <v>20</v>
      </c>
      <c r="J49" s="50" t="str">
        <f>'Kreuztabelle 20'!C50</f>
        <v>Spieler 20 / spielfrei</v>
      </c>
      <c r="K49" s="51">
        <f>IF(COUNT('Kreuztabelle 20'!D50:'Kreuztabelle 20'!W50)&gt;0,COUNT('Kreuztabelle 20'!D50:'Kreuztabelle 20'!W50),0)</f>
        <v>0</v>
      </c>
      <c r="L49" s="148">
        <f t="shared" si="60"/>
        <v>0</v>
      </c>
      <c r="M49" s="149">
        <f t="shared" si="61"/>
        <v>0</v>
      </c>
      <c r="N49">
        <f>IF(M49=" ",0.1,M49*10000+L49+0.01)</f>
        <v>0.01</v>
      </c>
      <c r="O49" s="147"/>
      <c r="P49" s="147"/>
      <c r="T49" s="1">
        <v>20</v>
      </c>
    </row>
    <row r="50" ht="19.5" customHeight="1"/>
  </sheetData>
  <mergeCells count="4">
    <mergeCell ref="AD2:AV2"/>
    <mergeCell ref="AW2:BO2"/>
    <mergeCell ref="BP2:CH2"/>
    <mergeCell ref="CI2:DA2"/>
  </mergeCells>
  <conditionalFormatting sqref="B24:F24">
    <cfRule type="expression" priority="1" dxfId="0" stopIfTrue="1">
      <formula>$C$24="spielfrei"</formula>
    </cfRule>
  </conditionalFormatting>
  <conditionalFormatting sqref="C4 C29">
    <cfRule type="expression" priority="2" dxfId="0" stopIfTrue="1">
      <formula>$C$4="Stand nach der 0. Runde"</formula>
    </cfRule>
  </conditionalFormatting>
  <conditionalFormatting sqref="F30:F49">
    <cfRule type="cellIs" priority="3" dxfId="2" operator="greaterThan" stopIfTrue="1">
      <formula>0</formula>
    </cfRule>
    <cfRule type="cellIs" priority="4" dxfId="3" operator="lessThan" stopIfTrue="1">
      <formula>0</formula>
    </cfRule>
  </conditionalFormatting>
  <printOptions horizontalCentered="1"/>
  <pageMargins left="0.7874015748031497" right="0.7874015748031497" top="0" bottom="0" header="0.5118110236220472" footer="0.5118110236220472"/>
  <pageSetup fitToHeight="1" fitToWidth="1" horizontalDpi="360" verticalDpi="36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Einstein</cp:lastModifiedBy>
  <cp:lastPrinted>2013-01-27T06:14:33Z</cp:lastPrinted>
  <dcterms:created xsi:type="dcterms:W3CDTF">2008-06-19T04:53:21Z</dcterms:created>
  <dcterms:modified xsi:type="dcterms:W3CDTF">2020-02-08T05:05:16Z</dcterms:modified>
  <cp:category/>
  <cp:version/>
  <cp:contentType/>
  <cp:contentStatus/>
</cp:coreProperties>
</file>