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315" yWindow="0" windowWidth="9825" windowHeight="13170" activeTab="0"/>
  </bookViews>
  <sheets>
    <sheet name="Eingabe" sheetId="1" r:id="rId1"/>
    <sheet name="12 Spieler" sheetId="2" r:id="rId2"/>
    <sheet name="Kreuztabelle 12" sheetId="3" r:id="rId3"/>
    <sheet name="Tabelle 12" sheetId="4" r:id="rId4"/>
  </sheets>
  <externalReferences>
    <externalReference r:id="rId7"/>
    <externalReference r:id="rId8"/>
    <externalReference r:id="rId9"/>
  </externalReferences>
  <definedNames>
    <definedName name="_xlnm.Print_Area" localSheetId="1">'12 Spieler'!$A$1:$Y$48</definedName>
    <definedName name="_xlnm.Print_Area" localSheetId="2">'Kreuztabelle 12'!$A$2:$S$17</definedName>
    <definedName name="_xlnm.Print_Area" localSheetId="3">'Tabelle 12'!$A$1:$G$34</definedName>
    <definedName name="Makro10">[1]!Makro10</definedName>
    <definedName name="Makro8">[2]!Makro8</definedName>
  </definedNames>
  <calcPr fullCalcOnLoad="1"/>
</workbook>
</file>

<file path=xl/sharedStrings.xml><?xml version="1.0" encoding="utf-8"?>
<sst xmlns="http://schemas.openxmlformats.org/spreadsheetml/2006/main" count="381" uniqueCount="79">
  <si>
    <t xml:space="preserve">Eingabe Turnier </t>
  </si>
  <si>
    <t>:</t>
  </si>
  <si>
    <t>z. B. Monatsblitzturnier</t>
  </si>
  <si>
    <t>Spieler 1</t>
  </si>
  <si>
    <t>Spieler 11</t>
  </si>
  <si>
    <t>Spieler 2</t>
  </si>
  <si>
    <t>Spieler 3</t>
  </si>
  <si>
    <t>Spieler 4</t>
  </si>
  <si>
    <t>Spieler 5</t>
  </si>
  <si>
    <t>Spieler 6</t>
  </si>
  <si>
    <t>Spieler 7</t>
  </si>
  <si>
    <t>Spieler 8</t>
  </si>
  <si>
    <t>Spieler 9</t>
  </si>
  <si>
    <t>Spieler 10</t>
  </si>
  <si>
    <t>vom :</t>
  </si>
  <si>
    <t>1. Runde</t>
  </si>
  <si>
    <t>2. Runde</t>
  </si>
  <si>
    <t>3. Runde</t>
  </si>
  <si>
    <t xml:space="preserve"> </t>
  </si>
  <si>
    <t>4. Runde</t>
  </si>
  <si>
    <t>5. Runde</t>
  </si>
  <si>
    <t>6. Runde</t>
  </si>
  <si>
    <t>7. Runde</t>
  </si>
  <si>
    <t>8. Runde</t>
  </si>
  <si>
    <t>9. Runde</t>
  </si>
  <si>
    <t>10. Runde</t>
  </si>
  <si>
    <t>11. Runde</t>
  </si>
  <si>
    <t>Nr.</t>
  </si>
  <si>
    <t>Spieler</t>
  </si>
  <si>
    <t>Punkte</t>
  </si>
  <si>
    <t>Sonn/Berg</t>
  </si>
  <si>
    <t>Platz</t>
  </si>
  <si>
    <t>Tabelle</t>
  </si>
  <si>
    <t>Sitzplan der</t>
  </si>
  <si>
    <t>Runde</t>
  </si>
  <si>
    <t>Schwarz</t>
  </si>
  <si>
    <t>Weiß</t>
  </si>
  <si>
    <t>Ergebnis</t>
  </si>
  <si>
    <t>eine Runde vorgewählt werden.</t>
  </si>
  <si>
    <t xml:space="preserve">Im Feld "G1" kann im Tabellenblatt "12 Spieler" </t>
  </si>
  <si>
    <t>Rangfolge</t>
  </si>
  <si>
    <t>Datum</t>
  </si>
  <si>
    <t>??.??.????</t>
  </si>
  <si>
    <t>Spieler 12 / spielfrei</t>
  </si>
  <si>
    <t xml:space="preserve">Die Paarungen entsprechen dem Sitzplan / die Farbverteilung für die einzelnen Runden wird nur oben angezeigt! </t>
  </si>
  <si>
    <t>Eingabe Daten</t>
  </si>
  <si>
    <t>Name</t>
  </si>
  <si>
    <t>J</t>
  </si>
  <si>
    <t>DWZ</t>
  </si>
  <si>
    <t>J = Alterskonstante (bis 20 = 5; 21 bis 25 = 10; ab 26 = 15)</t>
  </si>
  <si>
    <t>We</t>
  </si>
  <si>
    <t>n</t>
  </si>
  <si>
    <r>
      <t>E</t>
    </r>
    <r>
      <rPr>
        <b/>
        <sz val="6"/>
        <rFont val="Arial"/>
        <family val="2"/>
      </rPr>
      <t>0</t>
    </r>
  </si>
  <si>
    <r>
      <t>f</t>
    </r>
    <r>
      <rPr>
        <b/>
        <sz val="6"/>
        <rFont val="Arial"/>
        <family val="2"/>
      </rPr>
      <t>B</t>
    </r>
  </si>
  <si>
    <r>
      <t>S</t>
    </r>
    <r>
      <rPr>
        <b/>
        <sz val="6"/>
        <rFont val="Arial"/>
        <family val="2"/>
      </rPr>
      <t>Br</t>
    </r>
  </si>
  <si>
    <t>E</t>
  </si>
  <si>
    <t>W</t>
  </si>
  <si>
    <t xml:space="preserve">DWZ der Gegner der </t>
  </si>
  <si>
    <t xml:space="preserve">Ergebnisse der </t>
  </si>
  <si>
    <t xml:space="preserve">Ergebnisse Spieler mit DWZ  </t>
  </si>
  <si>
    <t>Berechnung von p für jedes Spiel</t>
  </si>
  <si>
    <t>Summe p</t>
  </si>
  <si>
    <t>gespielte Partien</t>
  </si>
  <si>
    <t>Berechnung</t>
  </si>
  <si>
    <t>Beschleunigung</t>
  </si>
  <si>
    <t>Bremse</t>
  </si>
  <si>
    <t>(wird gerundet)</t>
  </si>
  <si>
    <t>geholte Punkte</t>
  </si>
  <si>
    <t>Neue DWZ</t>
  </si>
  <si>
    <t>DWZ Tabelle :-)</t>
  </si>
  <si>
    <t>DWZ neu</t>
  </si>
  <si>
    <t xml:space="preserve"> + / - </t>
  </si>
  <si>
    <t>Informationen:</t>
  </si>
  <si>
    <t>Wenn für J kein Wert eingetragen wird, wird dieser auf 15 gesetzt.</t>
  </si>
  <si>
    <t>Die DWZ Berechnung berücksichtigt nicht alle Bestimmungen!</t>
  </si>
  <si>
    <t>Es wird keine Gewähr übernommen, dass diese Tabelle fehlerfrei ist!</t>
  </si>
  <si>
    <t>Diese Tabelle ist für 11 oder 12 Spieler gemacht.</t>
  </si>
  <si>
    <r>
      <t xml:space="preserve">Bei nur 11 Spielern </t>
    </r>
    <r>
      <rPr>
        <b/>
        <u val="single"/>
        <sz val="12"/>
        <rFont val="Arial"/>
        <family val="2"/>
      </rPr>
      <t>muss</t>
    </r>
    <r>
      <rPr>
        <b/>
        <sz val="12"/>
        <rFont val="Arial"/>
        <family val="2"/>
      </rPr>
      <t xml:space="preserve"> immer </t>
    </r>
    <r>
      <rPr>
        <b/>
        <sz val="12"/>
        <color indexed="10"/>
        <rFont val="Arial"/>
        <family val="2"/>
      </rPr>
      <t>spielfrei</t>
    </r>
    <r>
      <rPr>
        <b/>
        <sz val="12"/>
        <rFont val="Arial"/>
        <family val="2"/>
      </rPr>
      <t xml:space="preserve"> für den 12 Spieler eingetragen werden!</t>
    </r>
  </si>
  <si>
    <t>Version 1.02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</si>
</sst>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7"/>
      <color indexed="12"/>
      <name val="Arial"/>
      <family val="2"/>
    </font>
    <font>
      <b/>
      <sz val="6"/>
      <name val="Arial"/>
      <family val="2"/>
    </font>
    <font>
      <b/>
      <sz val="6"/>
      <color indexed="12"/>
      <name val="Arial"/>
      <family val="2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darkUp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Continuous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1" fillId="0" borderId="7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172" fontId="1" fillId="0" borderId="7" xfId="0" applyNumberFormat="1" applyFont="1" applyBorder="1" applyAlignment="1">
      <alignment horizontal="center" vertical="center"/>
    </xf>
    <xf numFmtId="172" fontId="1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14" fontId="9" fillId="0" borderId="0" xfId="0" applyNumberFormat="1" applyFont="1" applyBorder="1" applyAlignment="1">
      <alignment horizontal="centerContinuous" vertical="center"/>
    </xf>
    <xf numFmtId="14" fontId="6" fillId="0" borderId="0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0" xfId="0" applyNumberFormat="1" applyFont="1" applyBorder="1" applyAlignment="1">
      <alignment horizontal="left" vertical="center"/>
    </xf>
    <xf numFmtId="14" fontId="5" fillId="0" borderId="0" xfId="0" applyNumberFormat="1" applyFont="1" applyAlignment="1">
      <alignment horizontal="centerContinuous"/>
    </xf>
    <xf numFmtId="0" fontId="0" fillId="0" borderId="17" xfId="0" applyBorder="1" applyAlignment="1">
      <alignment horizontal="centerContinuous"/>
    </xf>
    <xf numFmtId="0" fontId="6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72" fontId="1" fillId="0" borderId="4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Alignment="1">
      <alignment vertical="center"/>
    </xf>
    <xf numFmtId="0" fontId="0" fillId="3" borderId="2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26" xfId="0" applyFill="1" applyBorder="1" applyAlignment="1">
      <alignment/>
    </xf>
    <xf numFmtId="0" fontId="5" fillId="3" borderId="26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0" fillId="4" borderId="16" xfId="0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4" borderId="19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173" fontId="0" fillId="0" borderId="31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3" fontId="0" fillId="0" borderId="31" xfId="0" applyNumberFormat="1" applyBorder="1" applyAlignment="1">
      <alignment horizontal="left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top"/>
    </xf>
    <xf numFmtId="0" fontId="5" fillId="3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14" fontId="1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rgb="FFFFFFFF"/>
      </font>
      <border/>
    </dxf>
    <dxf>
      <font>
        <color rgb="FFFF0000"/>
      </font>
      <border/>
    </dxf>
    <dxf>
      <font>
        <b/>
        <i val="0"/>
        <color rgb="FF336666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TSYS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UTSYS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UTSYS08DW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10 Spieler"/>
      <sheetName val="Kreuztabelle 10"/>
      <sheetName val="Tabelle 10"/>
      <sheetName val="Modul 10"/>
    </sheetNames>
    <definedNames>
      <definedName name="Makro1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8 Spieler"/>
      <sheetName val="Kreuztabelle 8"/>
      <sheetName val="Tabelle 8"/>
      <sheetName val="Modul 8"/>
    </sheetNames>
    <definedNames>
      <definedName name="Makro8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8 Spieler"/>
      <sheetName val="Kreuztabelle 8"/>
      <sheetName val="Tabelle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50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2.7109375" style="0" customWidth="1"/>
    <col min="2" max="2" width="3.7109375" style="0" customWidth="1"/>
    <col min="3" max="3" width="2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25.7109375" style="0" customWidth="1"/>
    <col min="8" max="8" width="3.7109375" style="0" customWidth="1"/>
    <col min="9" max="9" width="6.7109375" style="0" customWidth="1"/>
    <col min="10" max="26" width="12.7109375" style="0" customWidth="1"/>
  </cols>
  <sheetData>
    <row r="1" spans="1:26" ht="19.5" customHeight="1">
      <c r="A1" s="156" t="s">
        <v>78</v>
      </c>
      <c r="B1" s="160" t="str">
        <f ca="1">"Heute ist "&amp;IF(WEEKDAY(TODAY())=1,"Sonntag","")&amp;IF(WEEKDAY(TODAY())=2,"Montag","")&amp;IF(WEEKDAY(TODAY())=3,"Dienstag","")&amp;IF(WEEKDAY(TODAY())=4,"Mittwoch","")&amp;IF(WEEKDAY(TODAY())=5,"Donnerstag","")&amp;IF(WEEKDAY(TODAY())=6,"Freitag","")&amp;IF(WEEKDAY(TODAY())=7,"Samstag","")&amp;" der "&amp;DAY(TODAY())&amp;". "&amp;IF(MONTH(TODAY())=1,"Januar","")&amp;IF(MONTH(TODAY())=2,"Februar","")&amp;IF(MONTH(TODAY())=3,"März","")&amp;IF(MONTH(TODAY())=4,"April","")&amp;IF(MONTH(TODAY())=5,"Mai","")&amp;IF(MONTH(TODAY())=6,"Juni","")&amp;IF(MONTH(TODAY())=7,"Juli","")&amp;IF(MONTH(TODAY())=8,"August","")&amp;IF(MONTH(TODAY())=9,"September","")&amp;IF(MONTH(TODAY())=10,"Oktober","")&amp;IF(MONTH(TODAY())=11,"November","")&amp;IF(MONTH(TODAY())=12,"Dezember","")&amp;" "&amp;YEAR(TODAY())</f>
        <v>Heute ist Samstag der 8. Februar 2020</v>
      </c>
      <c r="C1" s="160"/>
      <c r="D1" s="160"/>
      <c r="E1" s="160"/>
      <c r="F1" s="160"/>
      <c r="G1" s="160"/>
      <c r="H1" s="160"/>
      <c r="I1" s="160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24" customHeight="1">
      <c r="A2" s="101"/>
      <c r="B2" s="116"/>
      <c r="C2" s="161" t="s">
        <v>41</v>
      </c>
      <c r="D2" s="161"/>
      <c r="E2" s="161"/>
      <c r="F2" s="109" t="s">
        <v>1</v>
      </c>
      <c r="G2" s="162" t="s">
        <v>42</v>
      </c>
      <c r="H2" s="162"/>
      <c r="I2" s="162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6" ht="24" customHeight="1">
      <c r="A3" s="100"/>
      <c r="B3" s="110"/>
      <c r="C3" s="157" t="s">
        <v>0</v>
      </c>
      <c r="D3" s="157"/>
      <c r="E3" s="157"/>
      <c r="F3" s="111" t="s">
        <v>1</v>
      </c>
      <c r="G3" s="158" t="s">
        <v>2</v>
      </c>
      <c r="H3" s="158"/>
      <c r="I3" s="158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ht="24" customHeight="1">
      <c r="A4" s="100"/>
      <c r="B4" s="159" t="s">
        <v>45</v>
      </c>
      <c r="C4" s="159"/>
      <c r="D4" s="159"/>
      <c r="E4" s="159"/>
      <c r="F4" s="159"/>
      <c r="G4" s="159"/>
      <c r="H4" s="159"/>
      <c r="I4" s="159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ht="24" customHeight="1" thickBot="1">
      <c r="A5" s="118"/>
      <c r="B5" s="107"/>
      <c r="C5" s="119" t="s">
        <v>46</v>
      </c>
      <c r="D5" s="120" t="s">
        <v>47</v>
      </c>
      <c r="E5" s="120" t="s">
        <v>48</v>
      </c>
      <c r="F5" s="108"/>
      <c r="G5" s="119" t="s">
        <v>46</v>
      </c>
      <c r="H5" s="120" t="s">
        <v>47</v>
      </c>
      <c r="I5" s="120" t="s">
        <v>48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ht="24.75" customHeight="1">
      <c r="A6" s="100"/>
      <c r="B6" s="112">
        <v>1</v>
      </c>
      <c r="C6" s="121" t="s">
        <v>3</v>
      </c>
      <c r="D6" s="122"/>
      <c r="E6" s="123"/>
      <c r="F6" s="112">
        <v>11</v>
      </c>
      <c r="G6" s="121" t="s">
        <v>4</v>
      </c>
      <c r="H6" s="122"/>
      <c r="I6" s="123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ht="24.75" customHeight="1">
      <c r="A7" s="100"/>
      <c r="B7" s="103">
        <v>2</v>
      </c>
      <c r="C7" s="124" t="s">
        <v>5</v>
      </c>
      <c r="D7" s="125"/>
      <c r="E7" s="126"/>
      <c r="F7" s="103">
        <v>12</v>
      </c>
      <c r="G7" s="124" t="s">
        <v>43</v>
      </c>
      <c r="H7" s="125"/>
      <c r="I7" s="126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6" ht="24.75" customHeight="1">
      <c r="A8" s="100"/>
      <c r="B8" s="103">
        <v>3</v>
      </c>
      <c r="C8" s="124" t="s">
        <v>6</v>
      </c>
      <c r="D8" s="125"/>
      <c r="E8" s="126"/>
      <c r="F8" s="103"/>
      <c r="G8" s="127"/>
      <c r="H8" s="128"/>
      <c r="I8" s="104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spans="1:26" ht="24.75" customHeight="1">
      <c r="A9" s="100"/>
      <c r="B9" s="103">
        <v>4</v>
      </c>
      <c r="C9" s="124" t="s">
        <v>7</v>
      </c>
      <c r="D9" s="125"/>
      <c r="E9" s="126"/>
      <c r="F9" s="103"/>
      <c r="G9" s="127"/>
      <c r="H9" s="128"/>
      <c r="I9" s="104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26" ht="24.75" customHeight="1">
      <c r="A10" s="100"/>
      <c r="B10" s="103">
        <v>5</v>
      </c>
      <c r="C10" s="124" t="s">
        <v>8</v>
      </c>
      <c r="D10" s="125"/>
      <c r="E10" s="126"/>
      <c r="F10" s="103"/>
      <c r="G10" s="127"/>
      <c r="H10" s="128"/>
      <c r="I10" s="104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ht="24.75" customHeight="1">
      <c r="A11" s="100"/>
      <c r="B11" s="103">
        <v>6</v>
      </c>
      <c r="C11" s="124" t="s">
        <v>9</v>
      </c>
      <c r="D11" s="125"/>
      <c r="E11" s="126"/>
      <c r="F11" s="103"/>
      <c r="G11" s="127"/>
      <c r="H11" s="128"/>
      <c r="I11" s="104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 ht="24.75" customHeight="1">
      <c r="A12" s="100"/>
      <c r="B12" s="103">
        <v>7</v>
      </c>
      <c r="C12" s="124" t="s">
        <v>10</v>
      </c>
      <c r="D12" s="125"/>
      <c r="E12" s="126"/>
      <c r="F12" s="103"/>
      <c r="G12" s="127"/>
      <c r="H12" s="128"/>
      <c r="I12" s="104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ht="24.75" customHeight="1">
      <c r="A13" s="100"/>
      <c r="B13" s="103">
        <v>8</v>
      </c>
      <c r="C13" s="124" t="s">
        <v>11</v>
      </c>
      <c r="D13" s="125"/>
      <c r="E13" s="126"/>
      <c r="F13" s="103"/>
      <c r="G13" s="127"/>
      <c r="H13" s="128"/>
      <c r="I13" s="104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1:26" ht="24.75" customHeight="1">
      <c r="A14" s="100"/>
      <c r="B14" s="103">
        <v>9</v>
      </c>
      <c r="C14" s="124" t="s">
        <v>12</v>
      </c>
      <c r="D14" s="125"/>
      <c r="E14" s="126"/>
      <c r="F14" s="103"/>
      <c r="G14" s="127"/>
      <c r="H14" s="128"/>
      <c r="I14" s="104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24.75" customHeight="1" thickBot="1">
      <c r="A15" s="100"/>
      <c r="B15" s="105">
        <v>10</v>
      </c>
      <c r="C15" s="129" t="s">
        <v>13</v>
      </c>
      <c r="D15" s="130"/>
      <c r="E15" s="131"/>
      <c r="F15" s="105"/>
      <c r="G15" s="132"/>
      <c r="H15" s="133"/>
      <c r="I15" s="106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24.75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spans="1:26" ht="15" customHeight="1">
      <c r="A17" s="134"/>
      <c r="B17" s="102" t="s">
        <v>72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</row>
    <row r="18" spans="1:26" ht="15" customHeight="1">
      <c r="A18" s="134"/>
      <c r="B18" s="102" t="s">
        <v>76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</row>
    <row r="19" spans="1:26" ht="15" customHeight="1">
      <c r="A19" s="134"/>
      <c r="B19" s="102" t="s">
        <v>77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</row>
    <row r="20" spans="1:26" ht="1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ht="15" customHeight="1">
      <c r="A21" s="100"/>
      <c r="B21" s="102" t="s">
        <v>39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ht="15" customHeight="1">
      <c r="A22" s="100"/>
      <c r="B22" s="102" t="s">
        <v>38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ht="1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spans="1:26" ht="15" customHeight="1">
      <c r="A24" s="100"/>
      <c r="B24" s="102" t="s">
        <v>49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ht="15" customHeight="1">
      <c r="A25" s="100"/>
      <c r="B25" s="102" t="s">
        <v>73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ht="15" customHeight="1">
      <c r="A26" s="100"/>
      <c r="B26" s="102" t="s">
        <v>74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ht="15" customHeight="1">
      <c r="A27" s="100"/>
      <c r="B27" s="102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spans="1:26" ht="15" customHeight="1">
      <c r="A28" s="100"/>
      <c r="B28" s="155" t="s">
        <v>75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spans="1:26" ht="1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 ht="1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ht="1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spans="1:26" ht="1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spans="1:26" ht="1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spans="1:26" ht="15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spans="1:26" ht="1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spans="1:26" ht="1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spans="1:26" ht="1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26" ht="1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</row>
    <row r="39" spans="1:26" ht="15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</row>
    <row r="40" spans="1:26" ht="1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spans="1:26" ht="1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:26" ht="15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spans="1:26" ht="1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:26" ht="1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:26" ht="1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spans="1:26" ht="1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 ht="1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:26" ht="1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spans="1:26" ht="1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spans="1:26" ht="1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</row>
  </sheetData>
  <mergeCells count="6">
    <mergeCell ref="C3:E3"/>
    <mergeCell ref="G3:I3"/>
    <mergeCell ref="B4:I4"/>
    <mergeCell ref="B1:I1"/>
    <mergeCell ref="C2:E2"/>
    <mergeCell ref="G2:I2"/>
  </mergeCells>
  <printOptions horizontalCentered="1"/>
  <pageMargins left="0.3937007874015748" right="0.3937007874015748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HV72"/>
  <sheetViews>
    <sheetView workbookViewId="0" topLeftCell="A1">
      <pane ySplit="8" topLeftCell="BM9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8.00390625" style="0" customWidth="1"/>
    <col min="2" max="2" width="3.7109375" style="0" customWidth="1"/>
    <col min="3" max="3" width="13.7109375" style="0" customWidth="1"/>
    <col min="4" max="4" width="1.57421875" style="0" customWidth="1"/>
    <col min="5" max="5" width="2.7109375" style="0" customWidth="1"/>
    <col min="6" max="6" width="11.7109375" style="0" customWidth="1"/>
    <col min="7" max="7" width="4.140625" style="0" customWidth="1"/>
    <col min="8" max="8" width="1.57421875" style="0" customWidth="1"/>
    <col min="9" max="9" width="4.140625" style="0" customWidth="1"/>
    <col min="10" max="10" width="3.7109375" style="0" customWidth="1"/>
    <col min="11" max="11" width="13.7109375" style="0" customWidth="1"/>
    <col min="12" max="12" width="1.57421875" style="0" customWidth="1"/>
    <col min="13" max="13" width="2.7109375" style="0" customWidth="1"/>
    <col min="14" max="14" width="11.7109375" style="0" customWidth="1"/>
    <col min="15" max="15" width="4.140625" style="0" customWidth="1"/>
    <col min="16" max="16" width="1.57421875" style="0" customWidth="1"/>
    <col min="17" max="17" width="4.140625" style="0" customWidth="1"/>
    <col min="18" max="18" width="3.7109375" style="0" customWidth="1"/>
    <col min="19" max="19" width="13.7109375" style="0" customWidth="1"/>
    <col min="20" max="20" width="1.57421875" style="0" customWidth="1"/>
    <col min="21" max="21" width="2.7109375" style="0" customWidth="1"/>
    <col min="22" max="22" width="11.7109375" style="0" customWidth="1"/>
    <col min="23" max="23" width="4.140625" style="0" customWidth="1"/>
    <col min="24" max="24" width="1.57421875" style="0" customWidth="1"/>
    <col min="25" max="25" width="4.140625" style="0" customWidth="1"/>
    <col min="27" max="39" width="8.7109375" style="0" hidden="1" customWidth="1"/>
    <col min="40" max="40" width="3.7109375" style="0" hidden="1" customWidth="1"/>
    <col min="41" max="41" width="4.7109375" style="0" hidden="1" customWidth="1"/>
    <col min="42" max="42" width="4.7109375" style="1" hidden="1" customWidth="1"/>
    <col min="43" max="44" width="4.7109375" style="0" hidden="1" customWidth="1"/>
    <col min="45" max="45" width="4.7109375" style="1" hidden="1" customWidth="1"/>
    <col min="46" max="46" width="4.421875" style="1" customWidth="1"/>
  </cols>
  <sheetData>
    <row r="1" spans="2:46" s="14" customFormat="1" ht="23.25">
      <c r="B1" s="170" t="s">
        <v>33</v>
      </c>
      <c r="C1" s="170"/>
      <c r="D1" s="171" t="str">
        <f>AS72&amp;"."</f>
        <v>1.</v>
      </c>
      <c r="E1" s="171"/>
      <c r="F1" s="82" t="s">
        <v>34</v>
      </c>
      <c r="G1" s="175"/>
      <c r="H1" s="176"/>
      <c r="I1" s="74" t="str">
        <f>Eingabe!$G$3</f>
        <v>z. B. Monatsblitzturnier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/>
      <c r="U1" s="49" t="s">
        <v>14</v>
      </c>
      <c r="V1" s="80" t="str">
        <f>Eingabe!G2</f>
        <v>??.??.????</v>
      </c>
      <c r="W1" s="12"/>
      <c r="X1" s="18"/>
      <c r="Y1" s="18"/>
      <c r="AP1" s="1"/>
      <c r="AS1" s="1"/>
      <c r="AT1" s="1"/>
    </row>
    <row r="3" spans="2:25" ht="13.5" thickBot="1">
      <c r="B3" s="17" t="str">
        <f>$AM7</f>
        <v>Spieler 1</v>
      </c>
      <c r="C3" s="12"/>
      <c r="D3" s="15"/>
      <c r="E3" s="12"/>
      <c r="F3" s="17" t="str">
        <f>$AM8</f>
        <v>Spieler 2</v>
      </c>
      <c r="G3" s="12"/>
      <c r="H3" s="15"/>
      <c r="I3" s="12"/>
      <c r="J3" s="17" t="str">
        <f>$AM9</f>
        <v>Spieler 3</v>
      </c>
      <c r="K3" s="12"/>
      <c r="L3" s="15"/>
      <c r="M3" s="12"/>
      <c r="N3" s="17" t="str">
        <f>$AM10</f>
        <v>Spieler 4</v>
      </c>
      <c r="O3" s="12"/>
      <c r="P3" s="15"/>
      <c r="Q3" s="12"/>
      <c r="R3" s="17" t="str">
        <f>$AM11</f>
        <v>Spieler 5</v>
      </c>
      <c r="S3" s="12"/>
      <c r="T3" s="15"/>
      <c r="U3" s="12"/>
      <c r="V3" s="17" t="str">
        <f>$AM12</f>
        <v>Spieler 6</v>
      </c>
      <c r="W3" s="12"/>
      <c r="X3" s="15"/>
      <c r="Y3" s="12"/>
    </row>
    <row r="4" spans="2:44" ht="12.75">
      <c r="B4" s="164" t="str">
        <f>IF($B$7="spielfrei","",AM6)</f>
        <v>Weiß</v>
      </c>
      <c r="C4" s="165" t="str">
        <f>IF($F$7="spielfrei","","Tisch 1")</f>
        <v>Tisch 1</v>
      </c>
      <c r="D4" s="165" t="str">
        <f>IF($F$7="spielfrei","","Tisch 1")</f>
        <v>Tisch 1</v>
      </c>
      <c r="E4" s="166" t="str">
        <f>IF($F$7="spielfrei","","Tisch 1")</f>
        <v>Tisch 1</v>
      </c>
      <c r="F4" s="164" t="s">
        <v>35</v>
      </c>
      <c r="G4" s="165"/>
      <c r="H4" s="165"/>
      <c r="I4" s="166"/>
      <c r="J4" s="164" t="s">
        <v>36</v>
      </c>
      <c r="K4" s="165"/>
      <c r="L4" s="165"/>
      <c r="M4" s="166"/>
      <c r="N4" s="164" t="s">
        <v>35</v>
      </c>
      <c r="O4" s="165"/>
      <c r="P4" s="165"/>
      <c r="Q4" s="166"/>
      <c r="R4" s="164" t="s">
        <v>36</v>
      </c>
      <c r="S4" s="165"/>
      <c r="T4" s="165"/>
      <c r="U4" s="166"/>
      <c r="V4" s="164" t="s">
        <v>35</v>
      </c>
      <c r="W4" s="165"/>
      <c r="X4" s="165"/>
      <c r="Y4" s="166"/>
      <c r="AA4" s="3" t="s">
        <v>31</v>
      </c>
      <c r="AB4" s="3" t="s">
        <v>15</v>
      </c>
      <c r="AC4" s="1" t="s">
        <v>16</v>
      </c>
      <c r="AD4" s="1" t="s">
        <v>17</v>
      </c>
      <c r="AE4" s="1" t="s">
        <v>19</v>
      </c>
      <c r="AF4" s="1" t="s">
        <v>20</v>
      </c>
      <c r="AG4" s="1" t="s">
        <v>21</v>
      </c>
      <c r="AH4" s="1" t="s">
        <v>22</v>
      </c>
      <c r="AI4" s="1" t="s">
        <v>23</v>
      </c>
      <c r="AJ4" s="1" t="s">
        <v>24</v>
      </c>
      <c r="AK4" s="1" t="s">
        <v>25</v>
      </c>
      <c r="AL4" s="1" t="s">
        <v>26</v>
      </c>
      <c r="AM4" s="1" t="s">
        <v>37</v>
      </c>
      <c r="AO4" s="3">
        <f>IF($E$12="spielfrei",COUNT($G$13:$G$17,$O$13:$O$17,$W$13:$W$17,$G$23:$G$27,$O$23:$O$27,$W$23:$W$27,$G$33:$G$37,$O$33:$O$37,$W$33:$W$37,$G$43:$G$47,$O$43:$O$47),-1)</f>
        <v>-1</v>
      </c>
      <c r="AP4" s="3"/>
      <c r="AQ4" s="3">
        <f>IF($E$12="spielfrei",-1,COUNT($G$12:$G$17,$O$12:$O$17,$W$12:$W$17,$G$22:$G$27,$O$22:$O$27,$W$22:$W$27,$G$32:$G$37,$O$32:$O$37,$W$32:$W$37,$G$42:$G$47,$O$42:$O$47))</f>
        <v>0</v>
      </c>
      <c r="AR4" s="3"/>
    </row>
    <row r="5" spans="2:45" ht="12.75">
      <c r="B5" s="69" t="str">
        <f>IF($B$7="spielfrei","","Tisch 1")</f>
        <v>Tisch 1</v>
      </c>
      <c r="C5" s="70"/>
      <c r="D5" s="70"/>
      <c r="E5" s="71"/>
      <c r="F5" s="69" t="str">
        <f>IF($B$7="spielfrei","Tisch 1","Tisch 2")</f>
        <v>Tisch 2</v>
      </c>
      <c r="G5" s="16"/>
      <c r="H5" s="35"/>
      <c r="I5" s="81"/>
      <c r="J5" s="69" t="str">
        <f>IF($B$7="spielfrei","Tisch 2","Tisch 3")</f>
        <v>Tisch 3</v>
      </c>
      <c r="K5" s="70"/>
      <c r="L5" s="70"/>
      <c r="M5" s="71"/>
      <c r="N5" s="69" t="str">
        <f>IF($B$7="spielfrei","Tisch 3","Tisch 4")</f>
        <v>Tisch 4</v>
      </c>
      <c r="O5" s="16"/>
      <c r="P5" s="35"/>
      <c r="Q5" s="84"/>
      <c r="R5" s="69" t="str">
        <f>IF($B$7="spielfrei","Tisch 4","Tisch 5")</f>
        <v>Tisch 5</v>
      </c>
      <c r="S5" s="16"/>
      <c r="T5" s="35"/>
      <c r="U5" s="84"/>
      <c r="V5" s="69" t="str">
        <f>IF($B$7="spielfrei","Tisch 5","Tisch 6")</f>
        <v>Tisch 6</v>
      </c>
      <c r="W5" s="16"/>
      <c r="X5" s="35"/>
      <c r="Y5" s="84"/>
      <c r="AO5" s="3">
        <f>IF($AO$4=AS5,AP5,0)</f>
        <v>0</v>
      </c>
      <c r="AP5" s="3">
        <v>1</v>
      </c>
      <c r="AQ5" s="3">
        <f>IF($AQ$4=AS5,AR5,0)</f>
        <v>1</v>
      </c>
      <c r="AR5" s="1">
        <v>1</v>
      </c>
      <c r="AS5" s="1">
        <v>0</v>
      </c>
    </row>
    <row r="6" spans="2:45" ht="13.5" thickBot="1">
      <c r="B6" s="167" t="str">
        <f>IF($B$7="spielfrei","",IF(B4="Weiß","Schwarz",IF(B4="Schwarz","Weiß")))</f>
        <v>Schwarz</v>
      </c>
      <c r="C6" s="168"/>
      <c r="D6" s="168"/>
      <c r="E6" s="169"/>
      <c r="F6" s="167" t="s">
        <v>36</v>
      </c>
      <c r="G6" s="168"/>
      <c r="H6" s="168"/>
      <c r="I6" s="169"/>
      <c r="J6" s="167" t="s">
        <v>35</v>
      </c>
      <c r="K6" s="168"/>
      <c r="L6" s="168"/>
      <c r="M6" s="169"/>
      <c r="N6" s="167" t="s">
        <v>36</v>
      </c>
      <c r="O6" s="168"/>
      <c r="P6" s="168"/>
      <c r="Q6" s="169"/>
      <c r="R6" s="167" t="s">
        <v>35</v>
      </c>
      <c r="S6" s="168"/>
      <c r="T6" s="168"/>
      <c r="U6" s="169"/>
      <c r="V6" s="167" t="s">
        <v>36</v>
      </c>
      <c r="W6" s="168"/>
      <c r="X6" s="168"/>
      <c r="Y6" s="169"/>
      <c r="AA6" s="3"/>
      <c r="AB6" s="3" t="str">
        <f>IF($AS$72=1,"Weiß","")</f>
        <v>Weiß</v>
      </c>
      <c r="AC6" s="3">
        <f>IF($AS$72=2,"Schwarz","")</f>
      </c>
      <c r="AD6" s="3">
        <f>IF($AS$72=3,"Weiß","")</f>
      </c>
      <c r="AE6" s="3">
        <f>IF($AS$72=4,"Schwarz","")</f>
      </c>
      <c r="AF6" s="3">
        <f>IF($AS$72=5,"Weiß","")</f>
      </c>
      <c r="AG6" s="3">
        <f>IF($AS$72=6,"Schwarz","")</f>
      </c>
      <c r="AH6" s="3">
        <f>IF($AS$72=7,"Weiß","")</f>
      </c>
      <c r="AI6" s="3">
        <f>IF($AS$72=8,"Schwarz","")</f>
      </c>
      <c r="AJ6" s="3">
        <f>IF($AS$72=9,"Weiß","")</f>
      </c>
      <c r="AK6" s="3">
        <f>IF($AS$72=10,"Schwarz","")</f>
      </c>
      <c r="AL6" s="3">
        <f>IF($AS$72=11,"Weiß","")</f>
      </c>
      <c r="AM6" s="1" t="str">
        <f>AB6&amp;AC6&amp;AD6&amp;AE6&amp;AF6&amp;AG6&amp;AH6&amp;AI6&amp;AJ6&amp;AK6&amp;AL6</f>
        <v>Weiß</v>
      </c>
      <c r="AO6" s="3">
        <f aca="true" t="shared" si="0" ref="AO6:AO59">IF($AO$4=AS6,AP6,0)</f>
        <v>0</v>
      </c>
      <c r="AP6" s="1">
        <v>1</v>
      </c>
      <c r="AQ6" s="3">
        <f aca="true" t="shared" si="1" ref="AQ6:AQ69">IF($AQ$4=AS6,AR6,0)</f>
        <v>0</v>
      </c>
      <c r="AR6" s="1">
        <v>1</v>
      </c>
      <c r="AS6" s="1">
        <v>1</v>
      </c>
    </row>
    <row r="7" spans="2:45" ht="12.75">
      <c r="B7" s="15" t="str">
        <f>$AM18</f>
        <v>Spieler 12 / spielfrei</v>
      </c>
      <c r="C7" s="15"/>
      <c r="D7" s="15"/>
      <c r="E7" s="16"/>
      <c r="F7" s="15" t="str">
        <f>$AM17</f>
        <v>Spieler 11</v>
      </c>
      <c r="G7" s="15"/>
      <c r="H7" s="15"/>
      <c r="I7" s="16"/>
      <c r="J7" s="15" t="str">
        <f>$AM16</f>
        <v>Spieler 10</v>
      </c>
      <c r="K7" s="15"/>
      <c r="L7" s="15"/>
      <c r="M7" s="16"/>
      <c r="N7" s="15" t="str">
        <f>$AM15</f>
        <v>Spieler 9</v>
      </c>
      <c r="O7" s="15"/>
      <c r="P7" s="15"/>
      <c r="Q7" s="16"/>
      <c r="R7" s="15" t="str">
        <f>$AM14</f>
        <v>Spieler 8</v>
      </c>
      <c r="S7" s="15"/>
      <c r="T7" s="15"/>
      <c r="U7" s="16"/>
      <c r="V7" s="15" t="str">
        <f>$AM13</f>
        <v>Spieler 7</v>
      </c>
      <c r="W7" s="15"/>
      <c r="X7" s="15"/>
      <c r="Y7" s="16"/>
      <c r="AA7" s="3">
        <v>1</v>
      </c>
      <c r="AB7" s="3" t="str">
        <f>IF($AS$72=1,Eingabe!$C$6,"")</f>
        <v>Spieler 1</v>
      </c>
      <c r="AC7" s="3">
        <f>IF($AS$72=2,Eingabe!$G$6,"")</f>
      </c>
      <c r="AD7" s="3">
        <f>IF($AS$72=3,Eingabe!$C$15,"")</f>
      </c>
      <c r="AE7" s="3">
        <f>IF($AS$72=4,Eingabe!$C$14,"")</f>
      </c>
      <c r="AF7" s="3">
        <f>IF($AS$72=5,Eingabe!$C$13,"")</f>
      </c>
      <c r="AG7" s="3">
        <f>IF($AS$72=6,Eingabe!$C$12,"")</f>
      </c>
      <c r="AH7" s="3">
        <f>IF($AS$72=7,Eingabe!$C$11,"")</f>
      </c>
      <c r="AI7" s="3">
        <f>IF($AS$72=8,Eingabe!$C$10,"")</f>
      </c>
      <c r="AJ7" s="3">
        <f>IF($AS$72=9,Eingabe!$C$9,"")</f>
      </c>
      <c r="AK7" s="3">
        <f>IF($AS$72=10,Eingabe!$C$8,"")</f>
      </c>
      <c r="AL7" s="3">
        <f>IF($AS$72=11,Eingabe!$C$7,"")</f>
      </c>
      <c r="AM7" s="1" t="str">
        <f aca="true" t="shared" si="2" ref="AM7:AM18">AB7&amp;AC7&amp;AD7&amp;AE7&amp;AF7&amp;AG7&amp;AH7&amp;AI7&amp;AJ7&amp;AK7&amp;AL7</f>
        <v>Spieler 1</v>
      </c>
      <c r="AO7" s="3">
        <f t="shared" si="0"/>
        <v>0</v>
      </c>
      <c r="AP7" s="1">
        <v>1</v>
      </c>
      <c r="AQ7" s="3">
        <f t="shared" si="1"/>
        <v>0</v>
      </c>
      <c r="AR7" s="1">
        <v>1</v>
      </c>
      <c r="AS7" s="1">
        <v>2</v>
      </c>
    </row>
    <row r="8" spans="2:45" ht="12.75">
      <c r="B8" s="163" t="s">
        <v>44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AA8" s="1">
        <v>2</v>
      </c>
      <c r="AB8" s="3" t="str">
        <f>IF($AS$72=1,Eingabe!$C$7,"")</f>
        <v>Spieler 2</v>
      </c>
      <c r="AC8" s="3">
        <f>IF($AS$72=2,Eingabe!$C$6,"")</f>
      </c>
      <c r="AD8" s="3">
        <f>IF($AS$72=3,Eingabe!$G$6,"")</f>
      </c>
      <c r="AE8" s="3">
        <f>IF($AS$72=4,Eingabe!$C$15,"")</f>
      </c>
      <c r="AF8" s="3">
        <f>IF($AS$72=5,Eingabe!$C$14,"")</f>
      </c>
      <c r="AG8" s="3">
        <f>IF($AS$72=6,Eingabe!$C$13,"")</f>
      </c>
      <c r="AH8" s="3">
        <f>IF($AS$72=7,Eingabe!$C$12,"")</f>
      </c>
      <c r="AI8" s="3">
        <f>IF($AS$72=8,Eingabe!$C$11,"")</f>
      </c>
      <c r="AJ8" s="3">
        <f>IF($AS$72=9,Eingabe!$C$10,"")</f>
      </c>
      <c r="AK8" s="3">
        <f>IF($AS$72=10,Eingabe!$C$9,"")</f>
      </c>
      <c r="AL8" s="3">
        <f>IF($AS$72=11,Eingabe!$C$8,"")</f>
      </c>
      <c r="AM8" s="1" t="str">
        <f t="shared" si="2"/>
        <v>Spieler 2</v>
      </c>
      <c r="AO8" s="3">
        <f t="shared" si="0"/>
        <v>0</v>
      </c>
      <c r="AP8" s="1">
        <v>1</v>
      </c>
      <c r="AQ8" s="3">
        <f t="shared" si="1"/>
        <v>0</v>
      </c>
      <c r="AR8" s="1">
        <v>1</v>
      </c>
      <c r="AS8" s="1">
        <v>3</v>
      </c>
    </row>
    <row r="9" spans="1:45" ht="12.7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AA9" s="1">
        <v>3</v>
      </c>
      <c r="AB9" s="3" t="str">
        <f>IF($AS$72=1,Eingabe!$C$8,"")</f>
        <v>Spieler 3</v>
      </c>
      <c r="AC9" s="3">
        <f>IF($AS$72=2,Eingabe!$C$7,"")</f>
      </c>
      <c r="AD9" s="3">
        <f>IF($AS$72=3,Eingabe!$C$6,"")</f>
      </c>
      <c r="AE9" s="3">
        <f>IF($AS$72=4,Eingabe!$G$6,"")</f>
      </c>
      <c r="AF9" s="3">
        <f>IF($AS$72=5,Eingabe!$C$15,"")</f>
      </c>
      <c r="AG9" s="3">
        <f>IF($AS$72=6,Eingabe!$C$14,"")</f>
      </c>
      <c r="AH9" s="3">
        <f>IF($AS$72=7,Eingabe!$C$13,"")</f>
      </c>
      <c r="AI9" s="3">
        <f>IF($AS$72=8,Eingabe!$C$12,"")</f>
      </c>
      <c r="AJ9" s="3">
        <f>IF($AS$72=9,Eingabe!$C$11,"")</f>
      </c>
      <c r="AK9" s="3">
        <f>IF($AS$72=10,Eingabe!$C$10,"")</f>
      </c>
      <c r="AL9" s="3">
        <f>IF($AS$72=11,Eingabe!$C$9,"")</f>
      </c>
      <c r="AM9" s="1" t="str">
        <f t="shared" si="2"/>
        <v>Spieler 3</v>
      </c>
      <c r="AO9" s="3">
        <f t="shared" si="0"/>
        <v>0</v>
      </c>
      <c r="AP9" s="1">
        <v>1</v>
      </c>
      <c r="AQ9" s="3">
        <f t="shared" si="1"/>
        <v>0</v>
      </c>
      <c r="AR9" s="3">
        <v>1</v>
      </c>
      <c r="AS9" s="1">
        <v>4</v>
      </c>
    </row>
    <row r="10" spans="4:230" ht="12.75">
      <c r="D10" s="11" t="s">
        <v>15</v>
      </c>
      <c r="L10" s="11" t="s">
        <v>16</v>
      </c>
      <c r="T10" s="11" t="s">
        <v>17</v>
      </c>
      <c r="Z10" s="2"/>
      <c r="AA10" s="1">
        <v>4</v>
      </c>
      <c r="AB10" s="3" t="str">
        <f>IF($AS$72=1,Eingabe!$C$9,"")</f>
        <v>Spieler 4</v>
      </c>
      <c r="AC10" s="3">
        <f>IF($AS$72=2,Eingabe!$C$8,"")</f>
      </c>
      <c r="AD10" s="3">
        <f>IF($AS$72=3,Eingabe!$C$7,"")</f>
      </c>
      <c r="AE10" s="3">
        <f>IF($AS$72=4,Eingabe!$C$6,"")</f>
      </c>
      <c r="AF10" s="3">
        <f>IF($AS$72=5,Eingabe!$G$6,"")</f>
      </c>
      <c r="AG10" s="3">
        <f>IF($AS$72=6,Eingabe!$C$15,"")</f>
      </c>
      <c r="AH10" s="3">
        <f>IF($AS$72=7,Eingabe!$C$14,"")</f>
      </c>
      <c r="AI10" s="3">
        <f>IF($AS$72=8,Eingabe!$C$13,"")</f>
      </c>
      <c r="AJ10" s="3">
        <f>IF($AS$72=9,Eingabe!$C$12,"")</f>
      </c>
      <c r="AK10" s="3">
        <f>IF($AS$72=10,Eingabe!$C$11,"")</f>
      </c>
      <c r="AL10" s="3">
        <f>IF($AS$72=11,Eingabe!$C$10,"")</f>
      </c>
      <c r="AM10" s="1" t="str">
        <f t="shared" si="2"/>
        <v>Spieler 4</v>
      </c>
      <c r="AN10" s="2"/>
      <c r="AO10" s="3">
        <f t="shared" si="0"/>
        <v>0</v>
      </c>
      <c r="AP10" s="3">
        <v>2</v>
      </c>
      <c r="AQ10" s="3">
        <f t="shared" si="1"/>
        <v>0</v>
      </c>
      <c r="AR10" s="83">
        <v>1</v>
      </c>
      <c r="AS10" s="1">
        <v>5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3:230" ht="6" customHeight="1">
      <c r="C11" s="11"/>
      <c r="K11" s="11"/>
      <c r="O11" t="s">
        <v>18</v>
      </c>
      <c r="S11" s="11"/>
      <c r="Z11" s="2"/>
      <c r="AA11" s="1">
        <v>5</v>
      </c>
      <c r="AB11" s="3" t="str">
        <f>IF($AS$72=1,Eingabe!$C$10,"")</f>
        <v>Spieler 5</v>
      </c>
      <c r="AC11" s="3">
        <f>IF($AS$72=2,Eingabe!$C$9,"")</f>
      </c>
      <c r="AD11" s="3">
        <f>IF($AS$72=3,Eingabe!$C$8,"")</f>
      </c>
      <c r="AE11" s="3">
        <f>IF($AS$72=4,Eingabe!$C$7,"")</f>
      </c>
      <c r="AF11" s="3">
        <f>IF($AS$72=5,Eingabe!$C$6,"")</f>
      </c>
      <c r="AG11" s="3">
        <f>IF($AS$72=6,Eingabe!$G$6,"")</f>
      </c>
      <c r="AH11" s="3">
        <f>IF($AS$72=7,Eingabe!$C$15,"")</f>
      </c>
      <c r="AI11" s="3">
        <f>IF($AS$72=8,Eingabe!$C$14,"")</f>
      </c>
      <c r="AJ11" s="3">
        <f>IF($AS$72=9,Eingabe!$C$13,"")</f>
      </c>
      <c r="AK11" s="3">
        <f>IF($AS$72=10,Eingabe!$C$12,"")</f>
      </c>
      <c r="AL11" s="3">
        <f>IF($AS$72=11,Eingabe!$C$11,"")</f>
      </c>
      <c r="AM11" s="1" t="str">
        <f t="shared" si="2"/>
        <v>Spieler 5</v>
      </c>
      <c r="AN11" s="2"/>
      <c r="AO11" s="3">
        <f t="shared" si="0"/>
        <v>0</v>
      </c>
      <c r="AP11" s="83">
        <v>2</v>
      </c>
      <c r="AQ11" s="3">
        <f t="shared" si="1"/>
        <v>0</v>
      </c>
      <c r="AR11" s="83">
        <v>2</v>
      </c>
      <c r="AS11" s="3">
        <v>6</v>
      </c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ht="12.75">
      <c r="A12" t="str">
        <f>IF(Eingabe!$G$7="spielfrei","","Tisch 1 :")</f>
        <v>Tisch 1 :</v>
      </c>
      <c r="C12" s="14" t="str">
        <f>Eingabe!$C$6</f>
        <v>Spieler 1</v>
      </c>
      <c r="D12" s="1" t="s">
        <v>1</v>
      </c>
      <c r="E12" s="14" t="str">
        <f>Eingabe!$G$7</f>
        <v>Spieler 12 / spielfrei</v>
      </c>
      <c r="F12" s="14"/>
      <c r="G12" s="1" t="s">
        <v>18</v>
      </c>
      <c r="H12" s="1" t="str">
        <f>IF($B$7="spielfrei"," ",":")</f>
        <v>:</v>
      </c>
      <c r="I12" s="5" t="str">
        <f aca="true" t="shared" si="3" ref="I12:I17">IF(G12&lt;=1,1-G12," ")</f>
        <v> </v>
      </c>
      <c r="J12" s="3"/>
      <c r="K12" s="14" t="str">
        <f>Eingabe!$G$6</f>
        <v>Spieler 11</v>
      </c>
      <c r="L12" s="1" t="s">
        <v>1</v>
      </c>
      <c r="M12" s="14" t="str">
        <f>Eingabe!$G$7</f>
        <v>Spieler 12 / spielfrei</v>
      </c>
      <c r="N12" s="14"/>
      <c r="O12" s="1" t="s">
        <v>18</v>
      </c>
      <c r="P12" s="1" t="str">
        <f>IF($B$7="spielfrei"," ",":")</f>
        <v>:</v>
      </c>
      <c r="Q12" s="5" t="str">
        <f aca="true" t="shared" si="4" ref="Q12:Q17">IF(O12&lt;=1,1-O12," ")</f>
        <v> </v>
      </c>
      <c r="R12" s="3"/>
      <c r="S12" s="14" t="str">
        <f>Eingabe!$C$15</f>
        <v>Spieler 10</v>
      </c>
      <c r="T12" s="1" t="s">
        <v>1</v>
      </c>
      <c r="U12" s="14" t="str">
        <f>Eingabe!$G$7</f>
        <v>Spieler 12 / spielfrei</v>
      </c>
      <c r="V12" s="14"/>
      <c r="W12" s="1" t="s">
        <v>18</v>
      </c>
      <c r="X12" s="1" t="str">
        <f>IF($B$7="spielfrei"," ",":")</f>
        <v>:</v>
      </c>
      <c r="Y12" s="3" t="str">
        <f aca="true" t="shared" si="5" ref="Y12:Y17">IF(W12&lt;=1,1-W12," ")</f>
        <v> </v>
      </c>
      <c r="Z12" s="2"/>
      <c r="AA12" s="3">
        <v>6</v>
      </c>
      <c r="AB12" s="3" t="str">
        <f>IF($AS$72=1,Eingabe!$C$11,"")</f>
        <v>Spieler 6</v>
      </c>
      <c r="AC12" s="3">
        <f>IF($AS$72=2,Eingabe!$C$10,"")</f>
      </c>
      <c r="AD12" s="3">
        <f>IF($AS$72=3,Eingabe!$C$9,"")</f>
      </c>
      <c r="AE12" s="3">
        <f>IF($AS$72=4,Eingabe!$C$8,"")</f>
      </c>
      <c r="AF12" s="3">
        <f>IF($AS$72=5,Eingabe!$C$7,"")</f>
      </c>
      <c r="AG12" s="3">
        <f>IF($AS$72=6,Eingabe!$C$6,"")</f>
      </c>
      <c r="AH12" s="3">
        <f>IF($AS$72=7,Eingabe!$G$6,"")</f>
      </c>
      <c r="AI12" s="3">
        <f>IF($AS$72=8,Eingabe!$C$15,"")</f>
      </c>
      <c r="AJ12" s="3">
        <f>IF($AS$72=9,Eingabe!$C$14,"")</f>
      </c>
      <c r="AK12" s="3">
        <f>IF($AS$72=10,Eingabe!$C$13,"")</f>
      </c>
      <c r="AL12" s="3">
        <f>IF($AS$72=11,Eingabe!$C$12,"")</f>
      </c>
      <c r="AM12" s="1" t="str">
        <f t="shared" si="2"/>
        <v>Spieler 6</v>
      </c>
      <c r="AN12" s="2"/>
      <c r="AO12" s="3">
        <f t="shared" si="0"/>
        <v>0</v>
      </c>
      <c r="AP12" s="83">
        <v>2</v>
      </c>
      <c r="AQ12" s="3">
        <f t="shared" si="1"/>
        <v>0</v>
      </c>
      <c r="AR12" s="83">
        <v>2</v>
      </c>
      <c r="AS12" s="3">
        <v>7</v>
      </c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ht="12.75">
      <c r="A13" t="str">
        <f>IF(Eingabe!$G$7="spielfrei","Tisch 1 :","Tisch 2 :")</f>
        <v>Tisch 2 :</v>
      </c>
      <c r="C13" s="14" t="str">
        <f>Eingabe!$G$6</f>
        <v>Spieler 11</v>
      </c>
      <c r="D13" s="1" t="s">
        <v>1</v>
      </c>
      <c r="E13" s="14" t="str">
        <f>Eingabe!$C$7</f>
        <v>Spieler 2</v>
      </c>
      <c r="F13" s="14"/>
      <c r="G13" s="1" t="s">
        <v>18</v>
      </c>
      <c r="H13" s="1" t="s">
        <v>1</v>
      </c>
      <c r="I13" s="5" t="str">
        <f t="shared" si="3"/>
        <v> </v>
      </c>
      <c r="J13" s="3"/>
      <c r="K13" s="14" t="str">
        <f>Eingabe!$C$15</f>
        <v>Spieler 10</v>
      </c>
      <c r="L13" s="1" t="s">
        <v>1</v>
      </c>
      <c r="M13" s="14" t="str">
        <f>Eingabe!$C$6</f>
        <v>Spieler 1</v>
      </c>
      <c r="N13" s="14"/>
      <c r="O13" s="1" t="s">
        <v>18</v>
      </c>
      <c r="P13" s="1" t="s">
        <v>1</v>
      </c>
      <c r="Q13" s="5" t="str">
        <f t="shared" si="4"/>
        <v> </v>
      </c>
      <c r="R13" s="3"/>
      <c r="S13" s="14" t="str">
        <f>Eingabe!$C$14</f>
        <v>Spieler 9</v>
      </c>
      <c r="T13" s="1" t="s">
        <v>1</v>
      </c>
      <c r="U13" s="14" t="str">
        <f>Eingabe!$G$6</f>
        <v>Spieler 11</v>
      </c>
      <c r="V13" s="14"/>
      <c r="W13" s="1" t="s">
        <v>18</v>
      </c>
      <c r="X13" s="1" t="s">
        <v>1</v>
      </c>
      <c r="Y13" s="3" t="str">
        <f t="shared" si="5"/>
        <v> </v>
      </c>
      <c r="Z13" s="2"/>
      <c r="AA13" s="3">
        <v>7</v>
      </c>
      <c r="AB13" s="3" t="str">
        <f>IF($AS$72=1,Eingabe!$C$12,"")</f>
        <v>Spieler 7</v>
      </c>
      <c r="AC13" s="3">
        <f>IF($AS$72=2,Eingabe!$C$11,"")</f>
      </c>
      <c r="AD13" s="3">
        <f>IF($AS$72=3,Eingabe!$C$10,"")</f>
      </c>
      <c r="AE13" s="3">
        <f>IF($AS$72=4,Eingabe!$C$9,"")</f>
      </c>
      <c r="AF13" s="3">
        <f>IF($AS$72=5,Eingabe!$C$8,"")</f>
      </c>
      <c r="AG13" s="3">
        <f>IF($AS$72=6,Eingabe!$C$7,"")</f>
      </c>
      <c r="AH13" s="3">
        <f>IF($AS$72=7,Eingabe!$C$6,"")</f>
      </c>
      <c r="AI13" s="3">
        <f>IF($AS$72=8,Eingabe!$G$6,"")</f>
      </c>
      <c r="AJ13" s="3">
        <f>IF($AS$72=9,Eingabe!$C$15,"")</f>
      </c>
      <c r="AK13" s="3">
        <f>IF($AS$72=10,Eingabe!$C$14,"")</f>
      </c>
      <c r="AL13" s="3">
        <f>IF($AS$72=11,Eingabe!$C$13,"")</f>
      </c>
      <c r="AM13" s="1" t="str">
        <f t="shared" si="2"/>
        <v>Spieler 7</v>
      </c>
      <c r="AN13" s="2"/>
      <c r="AO13" s="3">
        <f t="shared" si="0"/>
        <v>0</v>
      </c>
      <c r="AP13" s="83">
        <v>2</v>
      </c>
      <c r="AQ13" s="3">
        <f t="shared" si="1"/>
        <v>0</v>
      </c>
      <c r="AR13" s="83">
        <v>2</v>
      </c>
      <c r="AS13" s="3">
        <v>8</v>
      </c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ht="12.75">
      <c r="A14" t="str">
        <f>IF(Eingabe!$G$7="spielfrei","Tisch 2 :","Tisch 3 :")</f>
        <v>Tisch 3 :</v>
      </c>
      <c r="C14" s="14" t="str">
        <f>Eingabe!$C$15</f>
        <v>Spieler 10</v>
      </c>
      <c r="D14" s="1" t="s">
        <v>1</v>
      </c>
      <c r="E14" s="14" t="str">
        <f>Eingabe!$C$8</f>
        <v>Spieler 3</v>
      </c>
      <c r="F14" s="14"/>
      <c r="G14" s="1" t="s">
        <v>18</v>
      </c>
      <c r="H14" s="1" t="s">
        <v>1</v>
      </c>
      <c r="I14" s="5" t="str">
        <f t="shared" si="3"/>
        <v> </v>
      </c>
      <c r="J14" s="3"/>
      <c r="K14" s="14" t="str">
        <f>Eingabe!$C$14</f>
        <v>Spieler 9</v>
      </c>
      <c r="L14" s="1" t="s">
        <v>1</v>
      </c>
      <c r="M14" s="14" t="str">
        <f>Eingabe!$C$7</f>
        <v>Spieler 2</v>
      </c>
      <c r="N14" s="14"/>
      <c r="O14" s="1" t="s">
        <v>18</v>
      </c>
      <c r="P14" s="1" t="s">
        <v>1</v>
      </c>
      <c r="Q14" s="5" t="str">
        <f t="shared" si="4"/>
        <v> </v>
      </c>
      <c r="R14" s="3"/>
      <c r="S14" s="14" t="str">
        <f>Eingabe!$C$13</f>
        <v>Spieler 8</v>
      </c>
      <c r="T14" s="1" t="s">
        <v>1</v>
      </c>
      <c r="U14" s="14" t="str">
        <f>Eingabe!$C$6</f>
        <v>Spieler 1</v>
      </c>
      <c r="V14" s="14"/>
      <c r="W14" s="1" t="s">
        <v>18</v>
      </c>
      <c r="X14" s="1" t="s">
        <v>1</v>
      </c>
      <c r="Y14" s="3" t="str">
        <f t="shared" si="5"/>
        <v> </v>
      </c>
      <c r="Z14" s="2"/>
      <c r="AA14" s="3">
        <v>8</v>
      </c>
      <c r="AB14" s="3" t="str">
        <f>IF($AS$72=1,Eingabe!$C$13,"")</f>
        <v>Spieler 8</v>
      </c>
      <c r="AC14" s="3">
        <f>IF($AS$72=2,Eingabe!$C$12,"")</f>
      </c>
      <c r="AD14" s="3">
        <f>IF($AS$72=3,Eingabe!$C$11,"")</f>
      </c>
      <c r="AE14" s="3">
        <f>IF($AS$72=4,Eingabe!$C$10,"")</f>
      </c>
      <c r="AF14" s="3">
        <f>IF($AS$72=5,Eingabe!$C$9,"")</f>
      </c>
      <c r="AG14" s="3">
        <f>IF($AS$72=6,Eingabe!$C$8,"")</f>
      </c>
      <c r="AH14" s="3">
        <f>IF($AS$72=7,Eingabe!$C$7,"")</f>
      </c>
      <c r="AI14" s="3">
        <f>IF($AS$72=8,Eingabe!$C$6,"")</f>
      </c>
      <c r="AJ14" s="3">
        <f>IF($AS$72=9,Eingabe!$G$6,"")</f>
      </c>
      <c r="AK14" s="3">
        <f>IF($AS$72=10,Eingabe!$C$15,"")</f>
      </c>
      <c r="AL14" s="3">
        <f>IF($AS$72=11,Eingabe!$C$14,"")</f>
      </c>
      <c r="AM14" s="1" t="str">
        <f t="shared" si="2"/>
        <v>Spieler 8</v>
      </c>
      <c r="AN14" s="2"/>
      <c r="AO14" s="3">
        <f t="shared" si="0"/>
        <v>0</v>
      </c>
      <c r="AP14" s="83">
        <v>2</v>
      </c>
      <c r="AQ14" s="3">
        <f t="shared" si="1"/>
        <v>0</v>
      </c>
      <c r="AR14" s="83">
        <v>2</v>
      </c>
      <c r="AS14" s="3">
        <v>9</v>
      </c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ht="12.75">
      <c r="A15" t="str">
        <f>IF(Eingabe!$G$7="spielfrei","Tisch 3 :","Tisch 4 :")</f>
        <v>Tisch 4 :</v>
      </c>
      <c r="C15" s="14" t="str">
        <f>Eingabe!$C$14</f>
        <v>Spieler 9</v>
      </c>
      <c r="D15" s="1" t="s">
        <v>1</v>
      </c>
      <c r="E15" s="14" t="str">
        <f>Eingabe!$C$9</f>
        <v>Spieler 4</v>
      </c>
      <c r="F15" s="14"/>
      <c r="G15" s="1" t="s">
        <v>18</v>
      </c>
      <c r="H15" s="1" t="s">
        <v>1</v>
      </c>
      <c r="I15" s="5" t="str">
        <f t="shared" si="3"/>
        <v> </v>
      </c>
      <c r="J15" s="3"/>
      <c r="K15" s="14" t="str">
        <f>Eingabe!$C$13</f>
        <v>Spieler 8</v>
      </c>
      <c r="L15" s="1" t="s">
        <v>1</v>
      </c>
      <c r="M15" s="14" t="str">
        <f>Eingabe!$C$8</f>
        <v>Spieler 3</v>
      </c>
      <c r="N15" s="14"/>
      <c r="O15" s="1" t="s">
        <v>18</v>
      </c>
      <c r="P15" s="1" t="s">
        <v>1</v>
      </c>
      <c r="Q15" s="5" t="str">
        <f t="shared" si="4"/>
        <v> </v>
      </c>
      <c r="R15" s="3"/>
      <c r="S15" s="14" t="str">
        <f>Eingabe!$C$12</f>
        <v>Spieler 7</v>
      </c>
      <c r="T15" s="1" t="s">
        <v>1</v>
      </c>
      <c r="U15" s="14" t="str">
        <f>Eingabe!$C$7</f>
        <v>Spieler 2</v>
      </c>
      <c r="V15" s="14"/>
      <c r="W15" s="1" t="s">
        <v>18</v>
      </c>
      <c r="X15" s="1" t="s">
        <v>1</v>
      </c>
      <c r="Y15" s="3" t="str">
        <f t="shared" si="5"/>
        <v> </v>
      </c>
      <c r="Z15" s="2"/>
      <c r="AA15" s="3">
        <v>9</v>
      </c>
      <c r="AB15" s="3" t="str">
        <f>IF($AS$72=1,Eingabe!$C$14,"")</f>
        <v>Spieler 9</v>
      </c>
      <c r="AC15" s="3">
        <f>IF($AS$72=2,Eingabe!$C$13,"")</f>
      </c>
      <c r="AD15" s="3">
        <f>IF($AS$72=3,Eingabe!$C$12,"")</f>
      </c>
      <c r="AE15" s="3">
        <f>IF($AS$72=4,Eingabe!$C$11,"")</f>
      </c>
      <c r="AF15" s="3">
        <f>IF($AS$72=5,Eingabe!$C$10,"")</f>
      </c>
      <c r="AG15" s="3">
        <f>IF($AS$72=6,Eingabe!$C$9,"")</f>
      </c>
      <c r="AH15" s="3">
        <f>IF($AS$72=7,Eingabe!$C$8,"")</f>
      </c>
      <c r="AI15" s="3">
        <f>IF($AS$72=8,Eingabe!$C$7,"")</f>
      </c>
      <c r="AJ15" s="3">
        <f>IF($AS$72=9,Eingabe!$C$6,"")</f>
      </c>
      <c r="AK15" s="3">
        <f>IF($AS$72=10,Eingabe!$G$6,"")</f>
      </c>
      <c r="AL15" s="3">
        <f>IF($AS$72=11,Eingabe!$C$15,"")</f>
      </c>
      <c r="AM15" s="1" t="str">
        <f t="shared" si="2"/>
        <v>Spieler 9</v>
      </c>
      <c r="AN15" s="2"/>
      <c r="AO15" s="3">
        <f t="shared" si="0"/>
        <v>0</v>
      </c>
      <c r="AP15" s="83">
        <v>3</v>
      </c>
      <c r="AQ15" s="3">
        <f t="shared" si="1"/>
        <v>0</v>
      </c>
      <c r="AR15" s="83">
        <v>2</v>
      </c>
      <c r="AS15" s="3">
        <v>10</v>
      </c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ht="12.75">
      <c r="A16" t="str">
        <f>IF(Eingabe!$G$7="spielfrei","Tisch 4 :","Tisch 5 :")</f>
        <v>Tisch 5 :</v>
      </c>
      <c r="C16" s="14" t="str">
        <f>Eingabe!$C$13</f>
        <v>Spieler 8</v>
      </c>
      <c r="D16" s="1" t="s">
        <v>1</v>
      </c>
      <c r="E16" s="14" t="str">
        <f>Eingabe!$C$10</f>
        <v>Spieler 5</v>
      </c>
      <c r="F16" s="14"/>
      <c r="G16" s="1" t="s">
        <v>18</v>
      </c>
      <c r="H16" s="1" t="s">
        <v>1</v>
      </c>
      <c r="I16" s="5" t="str">
        <f t="shared" si="3"/>
        <v> </v>
      </c>
      <c r="J16" s="3"/>
      <c r="K16" s="14" t="str">
        <f>Eingabe!$C$12</f>
        <v>Spieler 7</v>
      </c>
      <c r="L16" s="1" t="s">
        <v>1</v>
      </c>
      <c r="M16" s="14" t="str">
        <f>Eingabe!$C$9</f>
        <v>Spieler 4</v>
      </c>
      <c r="N16" s="14"/>
      <c r="O16" s="1" t="s">
        <v>18</v>
      </c>
      <c r="P16" s="1" t="s">
        <v>1</v>
      </c>
      <c r="Q16" s="5" t="str">
        <f t="shared" si="4"/>
        <v> </v>
      </c>
      <c r="R16" s="3"/>
      <c r="S16" s="14" t="str">
        <f>Eingabe!$C$11</f>
        <v>Spieler 6</v>
      </c>
      <c r="T16" s="1" t="s">
        <v>1</v>
      </c>
      <c r="U16" s="14" t="str">
        <f>Eingabe!$C$8</f>
        <v>Spieler 3</v>
      </c>
      <c r="V16" s="14"/>
      <c r="W16" s="1" t="s">
        <v>18</v>
      </c>
      <c r="X16" s="1" t="s">
        <v>1</v>
      </c>
      <c r="Y16" s="3" t="str">
        <f t="shared" si="5"/>
        <v> </v>
      </c>
      <c r="Z16" s="2"/>
      <c r="AA16" s="3">
        <v>10</v>
      </c>
      <c r="AB16" s="3" t="str">
        <f>IF($AS$72=1,Eingabe!$C$15,"")</f>
        <v>Spieler 10</v>
      </c>
      <c r="AC16" s="3">
        <f>IF($AS$72=2,Eingabe!$C$14,"")</f>
      </c>
      <c r="AD16" s="3">
        <f>IF($AS$72=3,Eingabe!$C$13,"")</f>
      </c>
      <c r="AE16" s="3">
        <f>IF($AS$72=4,Eingabe!$C$12,"")</f>
      </c>
      <c r="AF16" s="3">
        <f>IF($AS$72=5,Eingabe!$C$11,"")</f>
      </c>
      <c r="AG16" s="3">
        <f>IF($AS$72=6,Eingabe!$C$10,"")</f>
      </c>
      <c r="AH16" s="3">
        <f>IF($AS$72=7,Eingabe!$C$9,"")</f>
      </c>
      <c r="AI16" s="3">
        <f>IF($AS$72=8,Eingabe!$C$8,"")</f>
      </c>
      <c r="AJ16" s="3">
        <f>IF($AS$72=9,Eingabe!$C$7,"")</f>
      </c>
      <c r="AK16" s="3">
        <f>IF($AS$72=10,Eingabe!$C$6,"")</f>
      </c>
      <c r="AL16" s="3">
        <f>IF($AS$72=11,Eingabe!$G$6,"")</f>
      </c>
      <c r="AM16" s="1" t="str">
        <f t="shared" si="2"/>
        <v>Spieler 10</v>
      </c>
      <c r="AN16" s="2"/>
      <c r="AO16" s="3">
        <f t="shared" si="0"/>
        <v>0</v>
      </c>
      <c r="AP16" s="83">
        <v>3</v>
      </c>
      <c r="AQ16" s="3">
        <f t="shared" si="1"/>
        <v>0</v>
      </c>
      <c r="AR16" s="83">
        <v>2</v>
      </c>
      <c r="AS16" s="3">
        <v>11</v>
      </c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ht="12.75">
      <c r="A17" t="str">
        <f>IF(Eingabe!$G$7="spielfrei","Tisch 5 :","Tisch 6 :")</f>
        <v>Tisch 6 :</v>
      </c>
      <c r="C17" s="14" t="str">
        <f>Eingabe!$C$12</f>
        <v>Spieler 7</v>
      </c>
      <c r="D17" s="1" t="s">
        <v>1</v>
      </c>
      <c r="E17" s="14" t="str">
        <f>Eingabe!$C$11</f>
        <v>Spieler 6</v>
      </c>
      <c r="F17" s="14"/>
      <c r="G17" s="1" t="s">
        <v>18</v>
      </c>
      <c r="H17" s="1" t="s">
        <v>1</v>
      </c>
      <c r="I17" s="5" t="str">
        <f t="shared" si="3"/>
        <v> </v>
      </c>
      <c r="J17" s="3"/>
      <c r="K17" s="14" t="str">
        <f>Eingabe!$C$11</f>
        <v>Spieler 6</v>
      </c>
      <c r="L17" s="1" t="s">
        <v>1</v>
      </c>
      <c r="M17" s="14" t="str">
        <f>Eingabe!$C$10</f>
        <v>Spieler 5</v>
      </c>
      <c r="N17" s="14"/>
      <c r="O17" s="1" t="s">
        <v>18</v>
      </c>
      <c r="P17" s="1" t="s">
        <v>1</v>
      </c>
      <c r="Q17" s="5" t="str">
        <f t="shared" si="4"/>
        <v> </v>
      </c>
      <c r="R17" s="3"/>
      <c r="S17" s="14" t="str">
        <f>Eingabe!$C$10</f>
        <v>Spieler 5</v>
      </c>
      <c r="T17" s="1" t="s">
        <v>1</v>
      </c>
      <c r="U17" s="14" t="str">
        <f>Eingabe!$C$9</f>
        <v>Spieler 4</v>
      </c>
      <c r="V17" s="14"/>
      <c r="W17" s="1" t="s">
        <v>18</v>
      </c>
      <c r="X17" s="1" t="s">
        <v>1</v>
      </c>
      <c r="Y17" s="3" t="str">
        <f t="shared" si="5"/>
        <v> </v>
      </c>
      <c r="Z17" s="2"/>
      <c r="AA17" s="83">
        <v>11</v>
      </c>
      <c r="AB17" s="3" t="str">
        <f>IF($AS$72=1,Eingabe!$G$6,"")</f>
        <v>Spieler 11</v>
      </c>
      <c r="AC17" s="3">
        <f>IF($AS$72=2,Eingabe!$C$15,"")</f>
      </c>
      <c r="AD17" s="3">
        <f>IF($AS$72=3,Eingabe!$C$14,"")</f>
      </c>
      <c r="AE17" s="3">
        <f>IF($AS$72=4,Eingabe!$C$13,"")</f>
      </c>
      <c r="AF17" s="3">
        <f>IF($AS$72=5,Eingabe!$C$12,"")</f>
      </c>
      <c r="AG17" s="3">
        <f>IF($AS$72=6,Eingabe!$C$11,"")</f>
      </c>
      <c r="AH17" s="3">
        <f>IF($AS$72=7,Eingabe!$C$10,"")</f>
      </c>
      <c r="AI17" s="3">
        <f>IF($AS$72=8,Eingabe!$C$9,"")</f>
      </c>
      <c r="AJ17" s="3">
        <f>IF($AS$72=9,Eingabe!$C$8,"")</f>
      </c>
      <c r="AK17" s="3">
        <f>IF($AS$72=10,Eingabe!$C$7,"")</f>
      </c>
      <c r="AL17" s="3">
        <f>IF($AS$72=11,Eingabe!$C$6,"")</f>
      </c>
      <c r="AM17" s="1" t="str">
        <f t="shared" si="2"/>
        <v>Spieler 11</v>
      </c>
      <c r="AN17" s="2"/>
      <c r="AO17" s="3">
        <f t="shared" si="0"/>
        <v>0</v>
      </c>
      <c r="AP17" s="83">
        <v>3</v>
      </c>
      <c r="AQ17" s="3">
        <f t="shared" si="1"/>
        <v>0</v>
      </c>
      <c r="AR17" s="83">
        <v>3</v>
      </c>
      <c r="AS17" s="3">
        <v>12</v>
      </c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3:230" ht="12.75">
      <c r="C18" s="13"/>
      <c r="D18" s="1"/>
      <c r="E18" s="14"/>
      <c r="F18" s="14"/>
      <c r="G18" s="14"/>
      <c r="H18" s="1"/>
      <c r="I18" s="2"/>
      <c r="J18" s="2"/>
      <c r="K18" s="13"/>
      <c r="L18" s="1"/>
      <c r="M18" s="14"/>
      <c r="N18" s="14"/>
      <c r="O18" s="14"/>
      <c r="P18" s="1"/>
      <c r="Q18" s="2"/>
      <c r="R18" s="2"/>
      <c r="S18" s="13"/>
      <c r="T18" s="1"/>
      <c r="U18" s="14"/>
      <c r="V18" s="14"/>
      <c r="W18" s="14"/>
      <c r="X18" s="1"/>
      <c r="Y18" s="2"/>
      <c r="Z18" s="2"/>
      <c r="AA18" s="83">
        <v>12</v>
      </c>
      <c r="AB18" s="3" t="str">
        <f>IF($AS$72=1,Eingabe!$G$7,"")</f>
        <v>Spieler 12 / spielfrei</v>
      </c>
      <c r="AC18" s="3">
        <f>IF($AS$72=2,Eingabe!$G$7,"")</f>
      </c>
      <c r="AD18" s="3">
        <f>IF($AS$72=3,Eingabe!$G$7,"")</f>
      </c>
      <c r="AE18" s="3">
        <f>IF($AS$72=4,Eingabe!$G$7,"")</f>
      </c>
      <c r="AF18" s="3">
        <f>IF($AS$72=5,Eingabe!$G$7,"")</f>
      </c>
      <c r="AG18" s="3">
        <f>IF($AS$72=6,Eingabe!$G$7,"")</f>
      </c>
      <c r="AH18" s="3">
        <f>IF($AS$72=7,Eingabe!$G$7,"")</f>
      </c>
      <c r="AI18" s="3">
        <f>IF($AS$72=8,Eingabe!$G$7,"")</f>
      </c>
      <c r="AJ18" s="3">
        <f>IF($AS$72=9,Eingabe!$G$7,"")</f>
      </c>
      <c r="AK18" s="3">
        <f>IF($AS$72=10,Eingabe!$G$7,"")</f>
      </c>
      <c r="AL18" s="3">
        <f>IF($AS$72=11,Eingabe!$G$7,"")</f>
      </c>
      <c r="AM18" s="1" t="str">
        <f t="shared" si="2"/>
        <v>Spieler 12 / spielfrei</v>
      </c>
      <c r="AN18" s="2"/>
      <c r="AO18" s="3">
        <f t="shared" si="0"/>
        <v>0</v>
      </c>
      <c r="AP18" s="83">
        <v>3</v>
      </c>
      <c r="AQ18" s="3">
        <f t="shared" si="1"/>
        <v>0</v>
      </c>
      <c r="AR18" s="83">
        <v>3</v>
      </c>
      <c r="AS18" s="3">
        <v>13</v>
      </c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25:230" ht="12.75">
      <c r="Y19" s="2"/>
      <c r="Z19" s="2"/>
      <c r="AA19" s="83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3">
        <f t="shared" si="0"/>
        <v>0</v>
      </c>
      <c r="AP19" s="83">
        <v>3</v>
      </c>
      <c r="AQ19" s="3">
        <f t="shared" si="1"/>
        <v>0</v>
      </c>
      <c r="AR19" s="83">
        <v>3</v>
      </c>
      <c r="AS19" s="3">
        <v>14</v>
      </c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4:230" ht="12.75">
      <c r="D20" s="11" t="s">
        <v>19</v>
      </c>
      <c r="L20" s="11" t="s">
        <v>20</v>
      </c>
      <c r="T20" s="11" t="s">
        <v>21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3">
        <f t="shared" si="0"/>
        <v>0</v>
      </c>
      <c r="AP20" s="83">
        <v>4</v>
      </c>
      <c r="AQ20" s="3">
        <f t="shared" si="1"/>
        <v>0</v>
      </c>
      <c r="AR20" s="83">
        <v>3</v>
      </c>
      <c r="AS20" s="3">
        <v>15</v>
      </c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3:230" ht="6" customHeight="1">
      <c r="C21" s="1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3">
        <f t="shared" si="0"/>
        <v>0</v>
      </c>
      <c r="AP21" s="83">
        <v>4</v>
      </c>
      <c r="AQ21" s="3">
        <f t="shared" si="1"/>
        <v>0</v>
      </c>
      <c r="AR21" s="83">
        <v>3</v>
      </c>
      <c r="AS21" s="3">
        <v>16</v>
      </c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ht="12.75">
      <c r="A22" t="str">
        <f>IF(Eingabe!$G$7="spielfrei","","Tisch 1 :")</f>
        <v>Tisch 1 :</v>
      </c>
      <c r="C22" s="14" t="str">
        <f>Eingabe!$C$14</f>
        <v>Spieler 9</v>
      </c>
      <c r="D22" s="1" t="s">
        <v>1</v>
      </c>
      <c r="E22" s="14" t="str">
        <f>Eingabe!$G$7</f>
        <v>Spieler 12 / spielfrei</v>
      </c>
      <c r="F22" s="14"/>
      <c r="G22" s="1" t="s">
        <v>18</v>
      </c>
      <c r="H22" s="1" t="str">
        <f>IF($B$7="spielfrei"," ",":")</f>
        <v>:</v>
      </c>
      <c r="I22" s="5" t="str">
        <f aca="true" t="shared" si="6" ref="I22:I27">IF(G22&lt;=1,1-G22," ")</f>
        <v> </v>
      </c>
      <c r="J22" s="3"/>
      <c r="K22" s="14" t="str">
        <f>Eingabe!$C$13</f>
        <v>Spieler 8</v>
      </c>
      <c r="L22" s="1" t="s">
        <v>1</v>
      </c>
      <c r="M22" s="14" t="str">
        <f>Eingabe!$G$7</f>
        <v>Spieler 12 / spielfrei</v>
      </c>
      <c r="N22" s="14"/>
      <c r="O22" s="1" t="s">
        <v>18</v>
      </c>
      <c r="P22" s="1" t="str">
        <f>IF($B$7="spielfrei"," ",":")</f>
        <v>:</v>
      </c>
      <c r="Q22" s="5" t="str">
        <f aca="true" t="shared" si="7" ref="Q22:Q27">IF(O22&lt;=1,1-O22," ")</f>
        <v> </v>
      </c>
      <c r="R22" s="3"/>
      <c r="S22" s="14" t="str">
        <f>Eingabe!$C$12</f>
        <v>Spieler 7</v>
      </c>
      <c r="T22" s="1" t="s">
        <v>1</v>
      </c>
      <c r="U22" s="14" t="str">
        <f>Eingabe!$G$7</f>
        <v>Spieler 12 / spielfrei</v>
      </c>
      <c r="V22" s="14"/>
      <c r="W22" s="1" t="s">
        <v>18</v>
      </c>
      <c r="X22" s="1" t="str">
        <f>IF($B$7="spielfrei"," ",":")</f>
        <v>:</v>
      </c>
      <c r="Y22" s="3" t="str">
        <f aca="true" t="shared" si="8" ref="Y22:Y27">IF(W22&lt;=1,1-W22," ")</f>
        <v> 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3">
        <f t="shared" si="0"/>
        <v>0</v>
      </c>
      <c r="AP22" s="83">
        <v>4</v>
      </c>
      <c r="AQ22" s="3">
        <f t="shared" si="1"/>
        <v>0</v>
      </c>
      <c r="AR22" s="83">
        <v>3</v>
      </c>
      <c r="AS22" s="3">
        <v>17</v>
      </c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ht="12.75">
      <c r="A23" t="str">
        <f>IF(Eingabe!$G$7="spielfrei","Tisch 1 :","Tisch 2 :")</f>
        <v>Tisch 2 :</v>
      </c>
      <c r="C23" s="14" t="str">
        <f>Eingabe!$C$13</f>
        <v>Spieler 8</v>
      </c>
      <c r="D23" s="1" t="s">
        <v>1</v>
      </c>
      <c r="E23" s="14" t="str">
        <f>Eingabe!$C$15</f>
        <v>Spieler 10</v>
      </c>
      <c r="F23" s="14"/>
      <c r="G23" s="1" t="s">
        <v>18</v>
      </c>
      <c r="H23" s="1" t="s">
        <v>1</v>
      </c>
      <c r="I23" s="5" t="str">
        <f t="shared" si="6"/>
        <v> </v>
      </c>
      <c r="J23" s="3"/>
      <c r="K23" s="14" t="str">
        <f>Eingabe!$C$12</f>
        <v>Spieler 7</v>
      </c>
      <c r="L23" s="1" t="s">
        <v>1</v>
      </c>
      <c r="M23" s="14" t="str">
        <f>Eingabe!$C$14</f>
        <v>Spieler 9</v>
      </c>
      <c r="N23" s="14"/>
      <c r="O23" s="1" t="s">
        <v>18</v>
      </c>
      <c r="P23" s="1" t="s">
        <v>1</v>
      </c>
      <c r="Q23" s="5" t="str">
        <f t="shared" si="7"/>
        <v> </v>
      </c>
      <c r="R23" s="3"/>
      <c r="S23" s="14" t="str">
        <f>Eingabe!$C$11</f>
        <v>Spieler 6</v>
      </c>
      <c r="T23" s="1" t="s">
        <v>1</v>
      </c>
      <c r="U23" s="14" t="str">
        <f>Eingabe!$C$13</f>
        <v>Spieler 8</v>
      </c>
      <c r="V23" s="14"/>
      <c r="W23" s="1" t="s">
        <v>18</v>
      </c>
      <c r="X23" s="1" t="s">
        <v>1</v>
      </c>
      <c r="Y23" s="3" t="str">
        <f t="shared" si="8"/>
        <v> 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3">
        <f t="shared" si="0"/>
        <v>0</v>
      </c>
      <c r="AP23" s="83">
        <v>4</v>
      </c>
      <c r="AQ23" s="3">
        <f t="shared" si="1"/>
        <v>0</v>
      </c>
      <c r="AR23" s="83">
        <v>4</v>
      </c>
      <c r="AS23" s="3">
        <v>18</v>
      </c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ht="12.75">
      <c r="A24" t="str">
        <f>IF(Eingabe!$G$7="spielfrei","Tisch 2 :","Tisch 3 :")</f>
        <v>Tisch 3 :</v>
      </c>
      <c r="C24" s="14" t="str">
        <f>Eingabe!$C$12</f>
        <v>Spieler 7</v>
      </c>
      <c r="D24" s="1" t="s">
        <v>1</v>
      </c>
      <c r="E24" s="14" t="str">
        <f>Eingabe!$G$6</f>
        <v>Spieler 11</v>
      </c>
      <c r="F24" s="14"/>
      <c r="G24" s="1" t="s">
        <v>18</v>
      </c>
      <c r="H24" s="1" t="s">
        <v>1</v>
      </c>
      <c r="I24" s="5" t="str">
        <f t="shared" si="6"/>
        <v> </v>
      </c>
      <c r="J24" s="3"/>
      <c r="K24" s="14" t="str">
        <f>Eingabe!$C$11</f>
        <v>Spieler 6</v>
      </c>
      <c r="L24" s="1" t="s">
        <v>1</v>
      </c>
      <c r="M24" s="14" t="str">
        <f>Eingabe!$C$15</f>
        <v>Spieler 10</v>
      </c>
      <c r="N24" s="14"/>
      <c r="O24" s="1" t="s">
        <v>18</v>
      </c>
      <c r="P24" s="1" t="s">
        <v>1</v>
      </c>
      <c r="Q24" s="5" t="str">
        <f t="shared" si="7"/>
        <v> </v>
      </c>
      <c r="R24" s="3"/>
      <c r="S24" s="14" t="str">
        <f>Eingabe!$C$10</f>
        <v>Spieler 5</v>
      </c>
      <c r="T24" s="1" t="s">
        <v>1</v>
      </c>
      <c r="U24" s="14" t="str">
        <f>Eingabe!$C$14</f>
        <v>Spieler 9</v>
      </c>
      <c r="V24" s="14"/>
      <c r="W24" s="1" t="s">
        <v>18</v>
      </c>
      <c r="X24" s="1" t="s">
        <v>1</v>
      </c>
      <c r="Y24" s="3" t="str">
        <f t="shared" si="8"/>
        <v> 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3">
        <f t="shared" si="0"/>
        <v>0</v>
      </c>
      <c r="AP24" s="83">
        <v>4</v>
      </c>
      <c r="AQ24" s="3">
        <f t="shared" si="1"/>
        <v>0</v>
      </c>
      <c r="AR24" s="83">
        <v>4</v>
      </c>
      <c r="AS24" s="3">
        <v>19</v>
      </c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ht="12.75">
      <c r="A25" t="str">
        <f>IF(Eingabe!$G$7="spielfrei","Tisch 3 :","Tisch 4 :")</f>
        <v>Tisch 4 :</v>
      </c>
      <c r="C25" s="14" t="str">
        <f>Eingabe!$C$11</f>
        <v>Spieler 6</v>
      </c>
      <c r="D25" s="1" t="s">
        <v>1</v>
      </c>
      <c r="E25" s="14" t="str">
        <f>Eingabe!$C$6</f>
        <v>Spieler 1</v>
      </c>
      <c r="F25" s="14"/>
      <c r="G25" s="1" t="s">
        <v>18</v>
      </c>
      <c r="H25" s="1" t="s">
        <v>1</v>
      </c>
      <c r="I25" s="5" t="str">
        <f t="shared" si="6"/>
        <v> </v>
      </c>
      <c r="J25" s="3"/>
      <c r="K25" s="14" t="str">
        <f>Eingabe!$C$10</f>
        <v>Spieler 5</v>
      </c>
      <c r="L25" s="1" t="s">
        <v>1</v>
      </c>
      <c r="M25" s="14" t="str">
        <f>Eingabe!$G$6</f>
        <v>Spieler 11</v>
      </c>
      <c r="N25" s="14"/>
      <c r="O25" s="1" t="s">
        <v>18</v>
      </c>
      <c r="P25" s="1" t="s">
        <v>1</v>
      </c>
      <c r="Q25" s="5" t="str">
        <f t="shared" si="7"/>
        <v> </v>
      </c>
      <c r="R25" s="3"/>
      <c r="S25" s="14" t="str">
        <f>Eingabe!$C$9</f>
        <v>Spieler 4</v>
      </c>
      <c r="T25" s="1" t="s">
        <v>1</v>
      </c>
      <c r="U25" s="14" t="str">
        <f>Eingabe!$C$15</f>
        <v>Spieler 10</v>
      </c>
      <c r="V25" s="14"/>
      <c r="W25" s="1" t="s">
        <v>18</v>
      </c>
      <c r="X25" s="1" t="s">
        <v>1</v>
      </c>
      <c r="Y25" s="3" t="str">
        <f t="shared" si="8"/>
        <v> 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3">
        <f t="shared" si="0"/>
        <v>0</v>
      </c>
      <c r="AP25" s="83">
        <v>5</v>
      </c>
      <c r="AQ25" s="3">
        <f t="shared" si="1"/>
        <v>0</v>
      </c>
      <c r="AR25" s="83">
        <v>4</v>
      </c>
      <c r="AS25" s="3">
        <v>20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ht="12.75">
      <c r="A26" t="str">
        <f>IF(Eingabe!$G$7="spielfrei","Tisch 4 :","Tisch 5 :")</f>
        <v>Tisch 5 :</v>
      </c>
      <c r="C26" s="14" t="str">
        <f>Eingabe!$C$10</f>
        <v>Spieler 5</v>
      </c>
      <c r="D26" s="1" t="s">
        <v>1</v>
      </c>
      <c r="E26" s="14" t="str">
        <f>Eingabe!$C$7</f>
        <v>Spieler 2</v>
      </c>
      <c r="F26" s="14"/>
      <c r="G26" s="1" t="s">
        <v>18</v>
      </c>
      <c r="H26" s="1" t="s">
        <v>1</v>
      </c>
      <c r="I26" s="5" t="str">
        <f t="shared" si="6"/>
        <v> </v>
      </c>
      <c r="J26" s="3"/>
      <c r="K26" s="14" t="str">
        <f>Eingabe!$C$9</f>
        <v>Spieler 4</v>
      </c>
      <c r="L26" s="1" t="s">
        <v>1</v>
      </c>
      <c r="M26" s="14" t="str">
        <f>Eingabe!$C$6</f>
        <v>Spieler 1</v>
      </c>
      <c r="N26" s="14"/>
      <c r="O26" s="1" t="s">
        <v>18</v>
      </c>
      <c r="P26" s="1" t="s">
        <v>1</v>
      </c>
      <c r="Q26" s="5" t="str">
        <f t="shared" si="7"/>
        <v> </v>
      </c>
      <c r="R26" s="3"/>
      <c r="S26" s="14" t="str">
        <f>Eingabe!$C$8</f>
        <v>Spieler 3</v>
      </c>
      <c r="T26" s="1" t="s">
        <v>1</v>
      </c>
      <c r="U26" s="14" t="str">
        <f>Eingabe!$G$6</f>
        <v>Spieler 11</v>
      </c>
      <c r="V26" s="14"/>
      <c r="W26" s="1" t="s">
        <v>18</v>
      </c>
      <c r="X26" s="1" t="s">
        <v>1</v>
      </c>
      <c r="Y26" s="3" t="str">
        <f t="shared" si="8"/>
        <v> 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3">
        <f t="shared" si="0"/>
        <v>0</v>
      </c>
      <c r="AP26" s="83">
        <v>5</v>
      </c>
      <c r="AQ26" s="3">
        <f t="shared" si="1"/>
        <v>0</v>
      </c>
      <c r="AR26" s="83">
        <v>4</v>
      </c>
      <c r="AS26" s="3">
        <v>21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ht="12.75">
      <c r="A27" t="str">
        <f>IF(Eingabe!$G$7="spielfrei","Tisch 5 :","Tisch 6 :")</f>
        <v>Tisch 6 :</v>
      </c>
      <c r="C27" s="14" t="str">
        <f>Eingabe!$C$9</f>
        <v>Spieler 4</v>
      </c>
      <c r="D27" s="1" t="s">
        <v>1</v>
      </c>
      <c r="E27" s="14" t="str">
        <f>Eingabe!$C$8</f>
        <v>Spieler 3</v>
      </c>
      <c r="F27" s="14"/>
      <c r="G27" s="1" t="s">
        <v>18</v>
      </c>
      <c r="H27" s="1" t="s">
        <v>1</v>
      </c>
      <c r="I27" s="5" t="str">
        <f t="shared" si="6"/>
        <v> </v>
      </c>
      <c r="J27" s="3"/>
      <c r="K27" s="14" t="str">
        <f>Eingabe!$C$8</f>
        <v>Spieler 3</v>
      </c>
      <c r="L27" s="1" t="s">
        <v>1</v>
      </c>
      <c r="M27" s="14" t="str">
        <f>Eingabe!$C$7</f>
        <v>Spieler 2</v>
      </c>
      <c r="N27" s="14"/>
      <c r="O27" s="1" t="s">
        <v>18</v>
      </c>
      <c r="P27" s="1" t="s">
        <v>1</v>
      </c>
      <c r="Q27" s="5" t="str">
        <f t="shared" si="7"/>
        <v> </v>
      </c>
      <c r="R27" s="3"/>
      <c r="S27" s="14" t="str">
        <f>Eingabe!$C$7</f>
        <v>Spieler 2</v>
      </c>
      <c r="T27" s="1" t="s">
        <v>1</v>
      </c>
      <c r="U27" s="14" t="str">
        <f>Eingabe!$C$6</f>
        <v>Spieler 1</v>
      </c>
      <c r="V27" s="14"/>
      <c r="W27" s="1" t="s">
        <v>18</v>
      </c>
      <c r="X27" s="1" t="s">
        <v>1</v>
      </c>
      <c r="Y27" s="3" t="str">
        <f t="shared" si="8"/>
        <v> 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3">
        <f t="shared" si="0"/>
        <v>0</v>
      </c>
      <c r="AP27" s="83">
        <v>5</v>
      </c>
      <c r="AQ27" s="3">
        <f t="shared" si="1"/>
        <v>0</v>
      </c>
      <c r="AR27" s="83">
        <v>4</v>
      </c>
      <c r="AS27" s="3">
        <v>22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23:230" ht="12.75">
      <c r="W28" t="s">
        <v>18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3">
        <f t="shared" si="0"/>
        <v>0</v>
      </c>
      <c r="AP28" s="83">
        <v>5</v>
      </c>
      <c r="AQ28" s="3">
        <f t="shared" si="1"/>
        <v>0</v>
      </c>
      <c r="AR28" s="83">
        <v>4</v>
      </c>
      <c r="AS28" s="3">
        <v>23</v>
      </c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25:230" ht="12.75"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3">
        <f t="shared" si="0"/>
        <v>0</v>
      </c>
      <c r="AP29" s="83">
        <v>5</v>
      </c>
      <c r="AQ29" s="3">
        <f t="shared" si="1"/>
        <v>0</v>
      </c>
      <c r="AR29" s="83">
        <v>5</v>
      </c>
      <c r="AS29" s="3">
        <v>24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4:230" ht="12.75">
      <c r="D30" s="11" t="s">
        <v>22</v>
      </c>
      <c r="L30" s="11" t="s">
        <v>23</v>
      </c>
      <c r="T30" s="11" t="s">
        <v>24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3">
        <f t="shared" si="0"/>
        <v>0</v>
      </c>
      <c r="AP30" s="83">
        <v>6</v>
      </c>
      <c r="AQ30" s="3">
        <f t="shared" si="1"/>
        <v>0</v>
      </c>
      <c r="AR30" s="83">
        <v>5</v>
      </c>
      <c r="AS30" s="3">
        <v>25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3:230" ht="6" customHeight="1">
      <c r="C31" s="1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3">
        <f t="shared" si="0"/>
        <v>0</v>
      </c>
      <c r="AP31" s="83">
        <v>6</v>
      </c>
      <c r="AQ31" s="3">
        <f t="shared" si="1"/>
        <v>0</v>
      </c>
      <c r="AR31" s="83">
        <v>5</v>
      </c>
      <c r="AS31" s="3">
        <v>26</v>
      </c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ht="12.75">
      <c r="A32" t="str">
        <f>IF(Eingabe!$G$7="spielfrei","","Tisch 1 :")</f>
        <v>Tisch 1 :</v>
      </c>
      <c r="C32" s="14" t="str">
        <f>Eingabe!$C$11</f>
        <v>Spieler 6</v>
      </c>
      <c r="D32" s="1" t="s">
        <v>1</v>
      </c>
      <c r="E32" s="14" t="str">
        <f>Eingabe!$G$7</f>
        <v>Spieler 12 / spielfrei</v>
      </c>
      <c r="F32" s="14"/>
      <c r="G32" s="1" t="s">
        <v>18</v>
      </c>
      <c r="H32" s="1" t="str">
        <f>IF($B$7="spielfrei"," ",":")</f>
        <v>:</v>
      </c>
      <c r="I32" s="5" t="str">
        <f aca="true" t="shared" si="9" ref="I32:I37">IF(G32&lt;=1,1-G32," ")</f>
        <v> </v>
      </c>
      <c r="J32" s="3"/>
      <c r="K32" s="14" t="str">
        <f>Eingabe!$C$10</f>
        <v>Spieler 5</v>
      </c>
      <c r="L32" s="1" t="s">
        <v>1</v>
      </c>
      <c r="M32" s="14" t="str">
        <f>Eingabe!$G$7</f>
        <v>Spieler 12 / spielfrei</v>
      </c>
      <c r="N32" s="14"/>
      <c r="O32" s="1" t="s">
        <v>18</v>
      </c>
      <c r="P32" s="1" t="str">
        <f>IF($B$7="spielfrei"," ",":")</f>
        <v>:</v>
      </c>
      <c r="Q32" s="5" t="str">
        <f aca="true" t="shared" si="10" ref="Q32:Q37">IF(O32&lt;=1,1-O32," ")</f>
        <v> </v>
      </c>
      <c r="R32" s="3"/>
      <c r="S32" s="14" t="str">
        <f>Eingabe!$C$9</f>
        <v>Spieler 4</v>
      </c>
      <c r="T32" s="1" t="s">
        <v>1</v>
      </c>
      <c r="U32" s="14" t="str">
        <f>Eingabe!$G$7</f>
        <v>Spieler 12 / spielfrei</v>
      </c>
      <c r="V32" s="14"/>
      <c r="W32" s="1" t="s">
        <v>18</v>
      </c>
      <c r="X32" s="1" t="str">
        <f>IF($B$7="spielfrei"," ",":")</f>
        <v>:</v>
      </c>
      <c r="Y32" s="3" t="str">
        <f aca="true" t="shared" si="11" ref="Y32:Y37">IF(W32&lt;=1,1-W32," ")</f>
        <v> 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3">
        <f t="shared" si="0"/>
        <v>0</v>
      </c>
      <c r="AP32" s="83">
        <v>6</v>
      </c>
      <c r="AQ32" s="3">
        <f t="shared" si="1"/>
        <v>0</v>
      </c>
      <c r="AR32" s="83">
        <v>5</v>
      </c>
      <c r="AS32" s="3">
        <v>27</v>
      </c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ht="12.75">
      <c r="A33" t="str">
        <f>IF(Eingabe!$G$7="spielfrei","Tisch 1 :","Tisch 2 :")</f>
        <v>Tisch 2 :</v>
      </c>
      <c r="C33" s="14" t="str">
        <f>Eingabe!$C$10</f>
        <v>Spieler 5</v>
      </c>
      <c r="D33" s="1" t="s">
        <v>1</v>
      </c>
      <c r="E33" s="14" t="str">
        <f>Eingabe!$C$12</f>
        <v>Spieler 7</v>
      </c>
      <c r="F33" s="14"/>
      <c r="G33" s="1" t="s">
        <v>18</v>
      </c>
      <c r="H33" s="1" t="s">
        <v>1</v>
      </c>
      <c r="I33" s="5" t="str">
        <f t="shared" si="9"/>
        <v> </v>
      </c>
      <c r="J33" s="3"/>
      <c r="K33" s="14" t="str">
        <f>Eingabe!$C$9</f>
        <v>Spieler 4</v>
      </c>
      <c r="L33" s="1" t="s">
        <v>1</v>
      </c>
      <c r="M33" s="14" t="str">
        <f>Eingabe!$C$11</f>
        <v>Spieler 6</v>
      </c>
      <c r="N33" s="14"/>
      <c r="O33" s="1" t="s">
        <v>18</v>
      </c>
      <c r="P33" s="1" t="s">
        <v>1</v>
      </c>
      <c r="Q33" s="5" t="str">
        <f t="shared" si="10"/>
        <v> </v>
      </c>
      <c r="R33" s="3"/>
      <c r="S33" s="14" t="str">
        <f>Eingabe!$C$8</f>
        <v>Spieler 3</v>
      </c>
      <c r="T33" s="1" t="s">
        <v>1</v>
      </c>
      <c r="U33" s="14" t="str">
        <f>Eingabe!$C$10</f>
        <v>Spieler 5</v>
      </c>
      <c r="V33" s="14"/>
      <c r="W33" s="1" t="s">
        <v>18</v>
      </c>
      <c r="X33" s="1" t="s">
        <v>1</v>
      </c>
      <c r="Y33" s="3" t="str">
        <f t="shared" si="11"/>
        <v> 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3">
        <f t="shared" si="0"/>
        <v>0</v>
      </c>
      <c r="AP33" s="83">
        <v>6</v>
      </c>
      <c r="AQ33" s="3">
        <f t="shared" si="1"/>
        <v>0</v>
      </c>
      <c r="AR33" s="83">
        <v>5</v>
      </c>
      <c r="AS33" s="3">
        <v>28</v>
      </c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ht="12.75">
      <c r="A34" t="str">
        <f>IF(Eingabe!$G$7="spielfrei","Tisch 2 :","Tisch 3 :")</f>
        <v>Tisch 3 :</v>
      </c>
      <c r="C34" s="14" t="str">
        <f>Eingabe!$C$9</f>
        <v>Spieler 4</v>
      </c>
      <c r="D34" s="1" t="s">
        <v>1</v>
      </c>
      <c r="E34" s="14" t="str">
        <f>Eingabe!$C$13</f>
        <v>Spieler 8</v>
      </c>
      <c r="F34" s="14"/>
      <c r="G34" s="1" t="s">
        <v>18</v>
      </c>
      <c r="H34" s="1" t="s">
        <v>1</v>
      </c>
      <c r="I34" s="5" t="str">
        <f t="shared" si="9"/>
        <v> </v>
      </c>
      <c r="J34" s="3"/>
      <c r="K34" s="14" t="str">
        <f>Eingabe!$C$8</f>
        <v>Spieler 3</v>
      </c>
      <c r="L34" s="1" t="s">
        <v>1</v>
      </c>
      <c r="M34" s="14" t="str">
        <f>Eingabe!$C$12</f>
        <v>Spieler 7</v>
      </c>
      <c r="N34" s="14"/>
      <c r="O34" s="1" t="s">
        <v>18</v>
      </c>
      <c r="P34" s="1" t="s">
        <v>1</v>
      </c>
      <c r="Q34" s="5" t="str">
        <f t="shared" si="10"/>
        <v> </v>
      </c>
      <c r="R34" s="3"/>
      <c r="S34" s="14" t="str">
        <f>Eingabe!$C$7</f>
        <v>Spieler 2</v>
      </c>
      <c r="T34" s="1" t="s">
        <v>1</v>
      </c>
      <c r="U34" s="14" t="str">
        <f>Eingabe!$C$11</f>
        <v>Spieler 6</v>
      </c>
      <c r="V34" s="14"/>
      <c r="W34" s="1" t="s">
        <v>18</v>
      </c>
      <c r="X34" s="1" t="s">
        <v>1</v>
      </c>
      <c r="Y34" s="3" t="str">
        <f t="shared" si="11"/>
        <v> 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3">
        <f t="shared" si="0"/>
        <v>0</v>
      </c>
      <c r="AP34" s="83">
        <v>6</v>
      </c>
      <c r="AQ34" s="3">
        <f t="shared" si="1"/>
        <v>0</v>
      </c>
      <c r="AR34" s="83">
        <v>5</v>
      </c>
      <c r="AS34" s="3">
        <v>29</v>
      </c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ht="12.75">
      <c r="A35" t="str">
        <f>IF(Eingabe!$G$7="spielfrei","Tisch 3 :","Tisch 4 :")</f>
        <v>Tisch 4 :</v>
      </c>
      <c r="C35" s="14" t="str">
        <f>Eingabe!$C$8</f>
        <v>Spieler 3</v>
      </c>
      <c r="D35" s="1" t="s">
        <v>1</v>
      </c>
      <c r="E35" s="14" t="str">
        <f>Eingabe!$C$14</f>
        <v>Spieler 9</v>
      </c>
      <c r="F35" s="14"/>
      <c r="G35" s="1" t="s">
        <v>18</v>
      </c>
      <c r="H35" s="1" t="s">
        <v>1</v>
      </c>
      <c r="I35" s="5" t="str">
        <f t="shared" si="9"/>
        <v> </v>
      </c>
      <c r="J35" s="3"/>
      <c r="K35" s="14" t="str">
        <f>Eingabe!$C$7</f>
        <v>Spieler 2</v>
      </c>
      <c r="L35" s="1" t="s">
        <v>1</v>
      </c>
      <c r="M35" s="14" t="str">
        <f>Eingabe!$C$13</f>
        <v>Spieler 8</v>
      </c>
      <c r="N35" s="14"/>
      <c r="O35" s="1" t="s">
        <v>18</v>
      </c>
      <c r="P35" s="1" t="s">
        <v>1</v>
      </c>
      <c r="Q35" s="5" t="str">
        <f t="shared" si="10"/>
        <v> </v>
      </c>
      <c r="R35" s="3"/>
      <c r="S35" s="14" t="str">
        <f>Eingabe!$C$6</f>
        <v>Spieler 1</v>
      </c>
      <c r="T35" s="1" t="s">
        <v>1</v>
      </c>
      <c r="U35" s="14" t="str">
        <f>Eingabe!$C$12</f>
        <v>Spieler 7</v>
      </c>
      <c r="V35" s="14"/>
      <c r="W35" s="1" t="s">
        <v>18</v>
      </c>
      <c r="X35" s="1" t="s">
        <v>1</v>
      </c>
      <c r="Y35" s="3" t="str">
        <f t="shared" si="11"/>
        <v> 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3">
        <f t="shared" si="0"/>
        <v>0</v>
      </c>
      <c r="AP35" s="83">
        <v>7</v>
      </c>
      <c r="AQ35" s="3">
        <f t="shared" si="1"/>
        <v>0</v>
      </c>
      <c r="AR35" s="83">
        <v>6</v>
      </c>
      <c r="AS35" s="3">
        <v>30</v>
      </c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ht="12.75">
      <c r="A36" t="str">
        <f>IF(Eingabe!$G$7="spielfrei","Tisch 4 :","Tisch 5 :")</f>
        <v>Tisch 5 :</v>
      </c>
      <c r="C36" s="14" t="str">
        <f>Eingabe!$C$7</f>
        <v>Spieler 2</v>
      </c>
      <c r="D36" s="1" t="s">
        <v>1</v>
      </c>
      <c r="E36" s="14" t="str">
        <f>Eingabe!$C$15</f>
        <v>Spieler 10</v>
      </c>
      <c r="F36" s="14"/>
      <c r="G36" s="1" t="s">
        <v>18</v>
      </c>
      <c r="H36" s="1" t="s">
        <v>1</v>
      </c>
      <c r="I36" s="5" t="str">
        <f t="shared" si="9"/>
        <v> </v>
      </c>
      <c r="J36" s="3"/>
      <c r="K36" s="14" t="str">
        <f>Eingabe!$C$6</f>
        <v>Spieler 1</v>
      </c>
      <c r="L36" s="1" t="s">
        <v>1</v>
      </c>
      <c r="M36" s="14" t="str">
        <f>Eingabe!$C$14</f>
        <v>Spieler 9</v>
      </c>
      <c r="N36" s="14"/>
      <c r="O36" s="1" t="s">
        <v>18</v>
      </c>
      <c r="P36" s="1" t="s">
        <v>1</v>
      </c>
      <c r="Q36" s="5" t="str">
        <f t="shared" si="10"/>
        <v> </v>
      </c>
      <c r="R36" s="3"/>
      <c r="S36" s="14" t="str">
        <f>Eingabe!$G$6</f>
        <v>Spieler 11</v>
      </c>
      <c r="T36" s="1" t="s">
        <v>1</v>
      </c>
      <c r="U36" s="14" t="str">
        <f>Eingabe!$C$13</f>
        <v>Spieler 8</v>
      </c>
      <c r="V36" s="14"/>
      <c r="W36" s="1" t="s">
        <v>18</v>
      </c>
      <c r="X36" s="1" t="s">
        <v>1</v>
      </c>
      <c r="Y36" s="3" t="str">
        <f t="shared" si="11"/>
        <v> 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3">
        <f t="shared" si="0"/>
        <v>0</v>
      </c>
      <c r="AP36" s="83">
        <v>7</v>
      </c>
      <c r="AQ36" s="3">
        <f t="shared" si="1"/>
        <v>0</v>
      </c>
      <c r="AR36" s="83">
        <v>6</v>
      </c>
      <c r="AS36" s="3">
        <v>31</v>
      </c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ht="12.75">
      <c r="A37" t="str">
        <f>IF(Eingabe!$G$7="spielfrei","Tisch 5 :","Tisch 6 :")</f>
        <v>Tisch 6 :</v>
      </c>
      <c r="C37" s="14" t="str">
        <f>Eingabe!$C$6</f>
        <v>Spieler 1</v>
      </c>
      <c r="D37" s="1" t="s">
        <v>1</v>
      </c>
      <c r="E37" s="14" t="str">
        <f>Eingabe!$G$6</f>
        <v>Spieler 11</v>
      </c>
      <c r="F37" s="14"/>
      <c r="G37" s="1" t="s">
        <v>18</v>
      </c>
      <c r="H37" s="1" t="s">
        <v>1</v>
      </c>
      <c r="I37" s="5" t="str">
        <f t="shared" si="9"/>
        <v> </v>
      </c>
      <c r="J37" s="3"/>
      <c r="K37" s="14" t="str">
        <f>Eingabe!$G$6</f>
        <v>Spieler 11</v>
      </c>
      <c r="L37" s="1" t="s">
        <v>1</v>
      </c>
      <c r="M37" s="14" t="str">
        <f>Eingabe!$C$15</f>
        <v>Spieler 10</v>
      </c>
      <c r="N37" s="14"/>
      <c r="O37" s="1" t="s">
        <v>18</v>
      </c>
      <c r="P37" s="1" t="s">
        <v>1</v>
      </c>
      <c r="Q37" s="5" t="str">
        <f t="shared" si="10"/>
        <v> </v>
      </c>
      <c r="R37" s="3"/>
      <c r="S37" s="14" t="str">
        <f>Eingabe!$C$15</f>
        <v>Spieler 10</v>
      </c>
      <c r="T37" s="1" t="s">
        <v>1</v>
      </c>
      <c r="U37" s="14" t="str">
        <f>Eingabe!$C$14</f>
        <v>Spieler 9</v>
      </c>
      <c r="V37" s="14"/>
      <c r="W37" s="1" t="s">
        <v>18</v>
      </c>
      <c r="X37" s="1" t="s">
        <v>1</v>
      </c>
      <c r="Y37" s="3" t="str">
        <f t="shared" si="11"/>
        <v> 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3">
        <f t="shared" si="0"/>
        <v>0</v>
      </c>
      <c r="AP37" s="83">
        <v>7</v>
      </c>
      <c r="AQ37" s="3">
        <f t="shared" si="1"/>
        <v>0</v>
      </c>
      <c r="AR37" s="83">
        <v>6</v>
      </c>
      <c r="AS37" s="3">
        <v>32</v>
      </c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25:230" ht="12.75"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3">
        <f t="shared" si="0"/>
        <v>0</v>
      </c>
      <c r="AP38" s="83">
        <v>7</v>
      </c>
      <c r="AQ38" s="3">
        <f t="shared" si="1"/>
        <v>0</v>
      </c>
      <c r="AR38" s="83">
        <v>6</v>
      </c>
      <c r="AS38" s="3">
        <v>33</v>
      </c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25:230" ht="12.75"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3">
        <f t="shared" si="0"/>
        <v>0</v>
      </c>
      <c r="AP39" s="83">
        <v>7</v>
      </c>
      <c r="AQ39" s="3">
        <f t="shared" si="1"/>
        <v>0</v>
      </c>
      <c r="AR39" s="83">
        <v>6</v>
      </c>
      <c r="AS39" s="3">
        <v>34</v>
      </c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3:230" ht="12.75">
      <c r="C40" s="11" t="s">
        <v>25</v>
      </c>
      <c r="K40" s="11" t="s">
        <v>26</v>
      </c>
      <c r="S40" s="11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3">
        <f t="shared" si="0"/>
        <v>0</v>
      </c>
      <c r="AP40" s="83">
        <v>8</v>
      </c>
      <c r="AQ40" s="3">
        <f t="shared" si="1"/>
        <v>0</v>
      </c>
      <c r="AR40" s="83">
        <v>6</v>
      </c>
      <c r="AS40" s="3">
        <v>35</v>
      </c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3:230" ht="6" customHeight="1">
      <c r="C41" s="11"/>
      <c r="K41" s="1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3">
        <f t="shared" si="0"/>
        <v>0</v>
      </c>
      <c r="AP41" s="83">
        <v>8</v>
      </c>
      <c r="AQ41" s="3">
        <f t="shared" si="1"/>
        <v>0</v>
      </c>
      <c r="AR41" s="83">
        <v>7</v>
      </c>
      <c r="AS41" s="3">
        <v>36</v>
      </c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ht="12.75">
      <c r="A42" t="str">
        <f>IF(Eingabe!$G$7="spielfrei","","Tisch 1 :")</f>
        <v>Tisch 1 :</v>
      </c>
      <c r="C42" s="14" t="str">
        <f>Eingabe!$C$8</f>
        <v>Spieler 3</v>
      </c>
      <c r="D42" s="1" t="s">
        <v>1</v>
      </c>
      <c r="E42" s="14" t="str">
        <f>Eingabe!$G$7</f>
        <v>Spieler 12 / spielfrei</v>
      </c>
      <c r="F42" s="14"/>
      <c r="G42" s="1" t="s">
        <v>18</v>
      </c>
      <c r="H42" s="1" t="str">
        <f>IF($B$7="spielfrei"," ",":")</f>
        <v>:</v>
      </c>
      <c r="I42" s="5" t="str">
        <f aca="true" t="shared" si="12" ref="I42:I47">IF(G42&lt;=1,1-G42," ")</f>
        <v> </v>
      </c>
      <c r="J42" s="3"/>
      <c r="K42" s="14" t="str">
        <f>Eingabe!$C$7</f>
        <v>Spieler 2</v>
      </c>
      <c r="L42" s="1" t="s">
        <v>1</v>
      </c>
      <c r="M42" s="14" t="str">
        <f>Eingabe!$G$7</f>
        <v>Spieler 12 / spielfrei</v>
      </c>
      <c r="N42" s="14"/>
      <c r="O42" s="1" t="s">
        <v>18</v>
      </c>
      <c r="P42" s="1" t="str">
        <f>IF($B$7="spielfrei"," ",":")</f>
        <v>:</v>
      </c>
      <c r="Q42" s="5" t="str">
        <f aca="true" t="shared" si="13" ref="Q42:Q47">IF(O42&lt;=1,1-O42," ")</f>
        <v> </v>
      </c>
      <c r="R42" s="3"/>
      <c r="S42" s="13"/>
      <c r="T42" s="1"/>
      <c r="U42" s="14"/>
      <c r="V42" s="14"/>
      <c r="W42" s="3"/>
      <c r="X42" s="3"/>
      <c r="Y42" s="3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3">
        <f t="shared" si="0"/>
        <v>0</v>
      </c>
      <c r="AP42" s="83">
        <v>8</v>
      </c>
      <c r="AQ42" s="3">
        <f t="shared" si="1"/>
        <v>0</v>
      </c>
      <c r="AR42" s="83">
        <v>7</v>
      </c>
      <c r="AS42" s="3">
        <v>37</v>
      </c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ht="12.75">
      <c r="A43" t="str">
        <f>IF(Eingabe!$G$7="spielfrei","Tisch 1 :","Tisch 2 :")</f>
        <v>Tisch 2 :</v>
      </c>
      <c r="C43" s="14" t="str">
        <f>Eingabe!$C$7</f>
        <v>Spieler 2</v>
      </c>
      <c r="D43" s="1" t="s">
        <v>1</v>
      </c>
      <c r="E43" s="14" t="str">
        <f>Eingabe!$C$9</f>
        <v>Spieler 4</v>
      </c>
      <c r="F43" s="14"/>
      <c r="G43" s="1" t="s">
        <v>18</v>
      </c>
      <c r="H43" s="1" t="s">
        <v>1</v>
      </c>
      <c r="I43" s="5" t="str">
        <f t="shared" si="12"/>
        <v> </v>
      </c>
      <c r="J43" s="3"/>
      <c r="K43" s="14" t="str">
        <f>Eingabe!$C$6</f>
        <v>Spieler 1</v>
      </c>
      <c r="L43" s="1" t="s">
        <v>1</v>
      </c>
      <c r="M43" s="14" t="str">
        <f>Eingabe!$C$8</f>
        <v>Spieler 3</v>
      </c>
      <c r="N43" s="14"/>
      <c r="O43" s="1" t="s">
        <v>18</v>
      </c>
      <c r="P43" s="1" t="s">
        <v>1</v>
      </c>
      <c r="Q43" s="5" t="str">
        <f t="shared" si="13"/>
        <v> </v>
      </c>
      <c r="R43" s="3"/>
      <c r="S43" s="13"/>
      <c r="T43" s="1"/>
      <c r="U43" s="14"/>
      <c r="V43" s="14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3">
        <f t="shared" si="0"/>
        <v>0</v>
      </c>
      <c r="AP43" s="83">
        <v>8</v>
      </c>
      <c r="AQ43" s="3">
        <f t="shared" si="1"/>
        <v>0</v>
      </c>
      <c r="AR43" s="83">
        <v>7</v>
      </c>
      <c r="AS43" s="3">
        <v>38</v>
      </c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ht="12.75">
      <c r="A44" t="str">
        <f>IF(Eingabe!$G$7="spielfrei","Tisch 2 :","Tisch 3 :")</f>
        <v>Tisch 3 :</v>
      </c>
      <c r="C44" s="14" t="str">
        <f>Eingabe!$C$6</f>
        <v>Spieler 1</v>
      </c>
      <c r="D44" s="1" t="s">
        <v>1</v>
      </c>
      <c r="E44" s="14" t="str">
        <f>Eingabe!$C$10</f>
        <v>Spieler 5</v>
      </c>
      <c r="F44" s="14"/>
      <c r="G44" s="1" t="s">
        <v>18</v>
      </c>
      <c r="H44" s="1" t="s">
        <v>1</v>
      </c>
      <c r="I44" s="5" t="str">
        <f t="shared" si="12"/>
        <v> </v>
      </c>
      <c r="J44" s="3"/>
      <c r="K44" s="14" t="str">
        <f>Eingabe!$G$6</f>
        <v>Spieler 11</v>
      </c>
      <c r="L44" s="1" t="s">
        <v>1</v>
      </c>
      <c r="M44" s="14" t="str">
        <f>Eingabe!$C$9</f>
        <v>Spieler 4</v>
      </c>
      <c r="N44" s="14"/>
      <c r="O44" s="1" t="s">
        <v>18</v>
      </c>
      <c r="P44" s="1" t="s">
        <v>1</v>
      </c>
      <c r="Q44" s="5" t="str">
        <f t="shared" si="13"/>
        <v> </v>
      </c>
      <c r="R44" s="3"/>
      <c r="S44" s="13"/>
      <c r="T44" s="1"/>
      <c r="U44" s="14"/>
      <c r="V44" s="14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3">
        <f t="shared" si="0"/>
        <v>0</v>
      </c>
      <c r="AP44" s="83">
        <v>8</v>
      </c>
      <c r="AQ44" s="3">
        <f t="shared" si="1"/>
        <v>0</v>
      </c>
      <c r="AR44" s="83">
        <v>7</v>
      </c>
      <c r="AS44" s="3">
        <v>39</v>
      </c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ht="12.75">
      <c r="A45" t="str">
        <f>IF(Eingabe!$G$7="spielfrei","Tisch 3 :","Tisch 4 :")</f>
        <v>Tisch 4 :</v>
      </c>
      <c r="C45" s="14" t="str">
        <f>Eingabe!$G$6</f>
        <v>Spieler 11</v>
      </c>
      <c r="D45" s="1" t="s">
        <v>1</v>
      </c>
      <c r="E45" s="14" t="str">
        <f>Eingabe!$C$11</f>
        <v>Spieler 6</v>
      </c>
      <c r="F45" s="14"/>
      <c r="G45" s="1" t="s">
        <v>18</v>
      </c>
      <c r="H45" s="1" t="s">
        <v>1</v>
      </c>
      <c r="I45" s="5" t="str">
        <f t="shared" si="12"/>
        <v> </v>
      </c>
      <c r="J45" s="3"/>
      <c r="K45" s="14" t="str">
        <f>Eingabe!$C$15</f>
        <v>Spieler 10</v>
      </c>
      <c r="L45" s="1" t="s">
        <v>1</v>
      </c>
      <c r="M45" s="14" t="str">
        <f>Eingabe!$C$10</f>
        <v>Spieler 5</v>
      </c>
      <c r="N45" s="14"/>
      <c r="O45" s="1" t="s">
        <v>18</v>
      </c>
      <c r="P45" s="1" t="s">
        <v>1</v>
      </c>
      <c r="Q45" s="5" t="str">
        <f t="shared" si="13"/>
        <v> </v>
      </c>
      <c r="R45" s="3"/>
      <c r="S45" s="13"/>
      <c r="T45" s="1"/>
      <c r="U45" s="14"/>
      <c r="V45" s="14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3">
        <f t="shared" si="0"/>
        <v>0</v>
      </c>
      <c r="AP45" s="83">
        <v>9</v>
      </c>
      <c r="AQ45" s="3">
        <f t="shared" si="1"/>
        <v>0</v>
      </c>
      <c r="AR45" s="83">
        <v>7</v>
      </c>
      <c r="AS45" s="3">
        <v>40</v>
      </c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45" ht="12.75">
      <c r="A46" t="str">
        <f>IF(Eingabe!$G$7="spielfrei","Tisch 4 :","Tisch 5 :")</f>
        <v>Tisch 5 :</v>
      </c>
      <c r="C46" s="14" t="str">
        <f>Eingabe!$C$15</f>
        <v>Spieler 10</v>
      </c>
      <c r="D46" s="1" t="s">
        <v>1</v>
      </c>
      <c r="E46" s="14" t="str">
        <f>Eingabe!$C$12</f>
        <v>Spieler 7</v>
      </c>
      <c r="F46" s="14"/>
      <c r="G46" s="1" t="s">
        <v>18</v>
      </c>
      <c r="H46" s="1" t="s">
        <v>1</v>
      </c>
      <c r="I46" s="5" t="str">
        <f t="shared" si="12"/>
        <v> </v>
      </c>
      <c r="J46" s="3"/>
      <c r="K46" s="14" t="str">
        <f>Eingabe!$C$14</f>
        <v>Spieler 9</v>
      </c>
      <c r="L46" s="1" t="s">
        <v>1</v>
      </c>
      <c r="M46" s="14" t="str">
        <f>Eingabe!$C$11</f>
        <v>Spieler 6</v>
      </c>
      <c r="N46" s="14"/>
      <c r="O46" s="1" t="s">
        <v>18</v>
      </c>
      <c r="P46" s="1" t="s">
        <v>1</v>
      </c>
      <c r="Q46" s="5" t="str">
        <f t="shared" si="13"/>
        <v> </v>
      </c>
      <c r="R46" s="3"/>
      <c r="S46" s="13"/>
      <c r="T46" s="1"/>
      <c r="U46" s="14"/>
      <c r="V46" s="14"/>
      <c r="W46" s="3"/>
      <c r="X46" s="3"/>
      <c r="Y46" s="3"/>
      <c r="Z46" s="2"/>
      <c r="AO46" s="3">
        <f t="shared" si="0"/>
        <v>0</v>
      </c>
      <c r="AP46" s="83">
        <v>9</v>
      </c>
      <c r="AQ46" s="3">
        <f t="shared" si="1"/>
        <v>0</v>
      </c>
      <c r="AR46" s="83">
        <v>7</v>
      </c>
      <c r="AS46" s="3">
        <v>41</v>
      </c>
    </row>
    <row r="47" spans="1:45" ht="12.75">
      <c r="A47" t="str">
        <f>IF(Eingabe!$G$7="spielfrei","Tisch 5 :","Tisch 6 :")</f>
        <v>Tisch 6 :</v>
      </c>
      <c r="C47" s="14" t="str">
        <f>Eingabe!$C$14</f>
        <v>Spieler 9</v>
      </c>
      <c r="D47" s="1" t="s">
        <v>1</v>
      </c>
      <c r="E47" s="14" t="str">
        <f>Eingabe!$C$13</f>
        <v>Spieler 8</v>
      </c>
      <c r="F47" s="14"/>
      <c r="G47" s="1" t="s">
        <v>18</v>
      </c>
      <c r="H47" s="1" t="s">
        <v>1</v>
      </c>
      <c r="I47" s="5" t="str">
        <f t="shared" si="12"/>
        <v> </v>
      </c>
      <c r="J47" s="3"/>
      <c r="K47" s="14" t="str">
        <f>Eingabe!$C$13</f>
        <v>Spieler 8</v>
      </c>
      <c r="L47" s="1" t="s">
        <v>1</v>
      </c>
      <c r="M47" s="14" t="str">
        <f>Eingabe!$C$12</f>
        <v>Spieler 7</v>
      </c>
      <c r="N47" s="14"/>
      <c r="O47" s="1" t="s">
        <v>18</v>
      </c>
      <c r="P47" s="1" t="s">
        <v>1</v>
      </c>
      <c r="Q47" s="5" t="str">
        <f t="shared" si="13"/>
        <v> </v>
      </c>
      <c r="R47" s="3"/>
      <c r="S47" s="13"/>
      <c r="T47" s="1"/>
      <c r="U47" s="14"/>
      <c r="V47" s="14"/>
      <c r="W47" s="3"/>
      <c r="X47" s="3"/>
      <c r="Y47" s="3"/>
      <c r="Z47" s="2"/>
      <c r="AO47" s="3">
        <f t="shared" si="0"/>
        <v>0</v>
      </c>
      <c r="AP47" s="83">
        <v>9</v>
      </c>
      <c r="AQ47" s="3">
        <f t="shared" si="1"/>
        <v>0</v>
      </c>
      <c r="AR47" s="83">
        <v>8</v>
      </c>
      <c r="AS47" s="3">
        <v>42</v>
      </c>
    </row>
    <row r="48" spans="23:45" ht="12.75">
      <c r="W48" s="2"/>
      <c r="X48" s="2"/>
      <c r="Y48" s="2"/>
      <c r="Z48" s="2"/>
      <c r="AO48" s="3">
        <f t="shared" si="0"/>
        <v>0</v>
      </c>
      <c r="AP48" s="83">
        <v>9</v>
      </c>
      <c r="AQ48" s="3">
        <f t="shared" si="1"/>
        <v>0</v>
      </c>
      <c r="AR48" s="83">
        <v>8</v>
      </c>
      <c r="AS48" s="3">
        <v>43</v>
      </c>
    </row>
    <row r="49" spans="23:45" ht="12.75">
      <c r="W49" s="2"/>
      <c r="X49" s="2"/>
      <c r="Y49" s="2"/>
      <c r="Z49" s="2"/>
      <c r="AO49" s="3">
        <f t="shared" si="0"/>
        <v>0</v>
      </c>
      <c r="AP49" s="83">
        <v>9</v>
      </c>
      <c r="AQ49" s="3">
        <f t="shared" si="1"/>
        <v>0</v>
      </c>
      <c r="AR49" s="83">
        <v>8</v>
      </c>
      <c r="AS49" s="3">
        <v>44</v>
      </c>
    </row>
    <row r="50" spans="41:45" ht="12.75">
      <c r="AO50" s="3">
        <f t="shared" si="0"/>
        <v>0</v>
      </c>
      <c r="AP50" s="83">
        <v>10</v>
      </c>
      <c r="AQ50" s="3">
        <f t="shared" si="1"/>
        <v>0</v>
      </c>
      <c r="AR50" s="83">
        <v>8</v>
      </c>
      <c r="AS50" s="3">
        <v>45</v>
      </c>
    </row>
    <row r="51" spans="41:45" ht="12.75">
      <c r="AO51" s="3">
        <f t="shared" si="0"/>
        <v>0</v>
      </c>
      <c r="AP51" s="83">
        <v>10</v>
      </c>
      <c r="AQ51" s="3">
        <f t="shared" si="1"/>
        <v>0</v>
      </c>
      <c r="AR51" s="83">
        <v>8</v>
      </c>
      <c r="AS51" s="3">
        <v>46</v>
      </c>
    </row>
    <row r="52" spans="41:45" ht="12.75">
      <c r="AO52" s="3">
        <f t="shared" si="0"/>
        <v>0</v>
      </c>
      <c r="AP52" s="83">
        <v>10</v>
      </c>
      <c r="AQ52" s="3">
        <f t="shared" si="1"/>
        <v>0</v>
      </c>
      <c r="AR52" s="83">
        <v>8</v>
      </c>
      <c r="AS52" s="3">
        <v>47</v>
      </c>
    </row>
    <row r="53" spans="41:45" ht="12.75">
      <c r="AO53" s="3">
        <f t="shared" si="0"/>
        <v>0</v>
      </c>
      <c r="AP53" s="83">
        <v>10</v>
      </c>
      <c r="AQ53" s="3">
        <f t="shared" si="1"/>
        <v>0</v>
      </c>
      <c r="AR53" s="83">
        <v>9</v>
      </c>
      <c r="AS53" s="3">
        <v>48</v>
      </c>
    </row>
    <row r="54" spans="41:45" ht="12.75">
      <c r="AO54" s="3">
        <f t="shared" si="0"/>
        <v>0</v>
      </c>
      <c r="AP54" s="83">
        <v>10</v>
      </c>
      <c r="AQ54" s="3">
        <f t="shared" si="1"/>
        <v>0</v>
      </c>
      <c r="AR54" s="83">
        <v>9</v>
      </c>
      <c r="AS54" s="3">
        <v>49</v>
      </c>
    </row>
    <row r="55" spans="41:45" ht="12.75">
      <c r="AO55" s="3">
        <f t="shared" si="0"/>
        <v>0</v>
      </c>
      <c r="AP55" s="83">
        <v>11</v>
      </c>
      <c r="AQ55" s="3">
        <f t="shared" si="1"/>
        <v>0</v>
      </c>
      <c r="AR55" s="83">
        <v>9</v>
      </c>
      <c r="AS55" s="3">
        <v>50</v>
      </c>
    </row>
    <row r="56" spans="41:45" ht="12.75">
      <c r="AO56" s="3">
        <f t="shared" si="0"/>
        <v>0</v>
      </c>
      <c r="AP56" s="83">
        <v>11</v>
      </c>
      <c r="AQ56" s="3">
        <f t="shared" si="1"/>
        <v>0</v>
      </c>
      <c r="AR56" s="83">
        <v>9</v>
      </c>
      <c r="AS56" s="3">
        <v>51</v>
      </c>
    </row>
    <row r="57" spans="41:45" ht="12.75">
      <c r="AO57" s="3">
        <f t="shared" si="0"/>
        <v>0</v>
      </c>
      <c r="AP57" s="83">
        <v>11</v>
      </c>
      <c r="AQ57" s="3">
        <f t="shared" si="1"/>
        <v>0</v>
      </c>
      <c r="AR57" s="83">
        <v>9</v>
      </c>
      <c r="AS57" s="3">
        <v>52</v>
      </c>
    </row>
    <row r="58" spans="41:45" ht="12.75">
      <c r="AO58" s="3">
        <f t="shared" si="0"/>
        <v>0</v>
      </c>
      <c r="AP58" s="83">
        <v>11</v>
      </c>
      <c r="AQ58" s="3">
        <f t="shared" si="1"/>
        <v>0</v>
      </c>
      <c r="AR58" s="83">
        <v>9</v>
      </c>
      <c r="AS58" s="3">
        <v>53</v>
      </c>
    </row>
    <row r="59" spans="41:45" ht="12.75">
      <c r="AO59" s="3">
        <f t="shared" si="0"/>
        <v>0</v>
      </c>
      <c r="AP59" s="83">
        <v>11</v>
      </c>
      <c r="AQ59" s="3">
        <f t="shared" si="1"/>
        <v>0</v>
      </c>
      <c r="AR59" s="83">
        <v>10</v>
      </c>
      <c r="AS59" s="3">
        <v>54</v>
      </c>
    </row>
    <row r="60" spans="43:45" ht="12.75">
      <c r="AQ60" s="3">
        <f t="shared" si="1"/>
        <v>0</v>
      </c>
      <c r="AR60" s="83">
        <v>10</v>
      </c>
      <c r="AS60" s="3">
        <v>55</v>
      </c>
    </row>
    <row r="61" spans="43:45" ht="12.75">
      <c r="AQ61" s="3">
        <f t="shared" si="1"/>
        <v>0</v>
      </c>
      <c r="AR61" s="83">
        <v>10</v>
      </c>
      <c r="AS61" s="3">
        <v>56</v>
      </c>
    </row>
    <row r="62" spans="43:45" ht="12.75">
      <c r="AQ62" s="3">
        <f t="shared" si="1"/>
        <v>0</v>
      </c>
      <c r="AR62" s="83">
        <v>10</v>
      </c>
      <c r="AS62" s="3">
        <v>57</v>
      </c>
    </row>
    <row r="63" spans="43:45" ht="12.75">
      <c r="AQ63" s="3">
        <f t="shared" si="1"/>
        <v>0</v>
      </c>
      <c r="AR63" s="83">
        <v>10</v>
      </c>
      <c r="AS63" s="3">
        <v>58</v>
      </c>
    </row>
    <row r="64" spans="43:45" ht="12.75">
      <c r="AQ64" s="3">
        <f t="shared" si="1"/>
        <v>0</v>
      </c>
      <c r="AR64" s="83">
        <v>10</v>
      </c>
      <c r="AS64" s="3">
        <v>59</v>
      </c>
    </row>
    <row r="65" spans="43:45" ht="12.75">
      <c r="AQ65" s="3">
        <f t="shared" si="1"/>
        <v>0</v>
      </c>
      <c r="AR65" s="1">
        <v>11</v>
      </c>
      <c r="AS65" s="3">
        <v>60</v>
      </c>
    </row>
    <row r="66" spans="43:45" ht="12.75">
      <c r="AQ66" s="3">
        <f t="shared" si="1"/>
        <v>0</v>
      </c>
      <c r="AR66" s="83">
        <v>11</v>
      </c>
      <c r="AS66" s="3">
        <v>61</v>
      </c>
    </row>
    <row r="67" spans="43:45" ht="12.75">
      <c r="AQ67" s="3">
        <f t="shared" si="1"/>
        <v>0</v>
      </c>
      <c r="AR67" s="83">
        <v>11</v>
      </c>
      <c r="AS67" s="3">
        <v>62</v>
      </c>
    </row>
    <row r="68" spans="43:45" ht="12.75">
      <c r="AQ68" s="3">
        <f t="shared" si="1"/>
        <v>0</v>
      </c>
      <c r="AR68" s="83">
        <v>11</v>
      </c>
      <c r="AS68" s="3">
        <v>63</v>
      </c>
    </row>
    <row r="69" spans="43:45" ht="12.75">
      <c r="AQ69" s="3">
        <f t="shared" si="1"/>
        <v>0</v>
      </c>
      <c r="AR69" s="83">
        <v>11</v>
      </c>
      <c r="AS69" s="3">
        <v>64</v>
      </c>
    </row>
    <row r="70" spans="43:45" ht="12.75">
      <c r="AQ70" s="3">
        <f>IF($AQ$4=AS70,AR70,0)</f>
        <v>0</v>
      </c>
      <c r="AR70" s="83">
        <v>11</v>
      </c>
      <c r="AS70" s="3">
        <v>65</v>
      </c>
    </row>
    <row r="71" spans="41:45" ht="12.75">
      <c r="AO71" s="3"/>
      <c r="AP71" s="3"/>
      <c r="AQ71" s="3">
        <f>IF($AQ$4=AS71,AR71,0)</f>
        <v>0</v>
      </c>
      <c r="AR71" s="3">
        <v>11</v>
      </c>
      <c r="AS71" s="3">
        <v>66</v>
      </c>
    </row>
    <row r="72" spans="41:45" ht="12.75">
      <c r="AO72" s="3">
        <f>SUM(AO5:AO59)</f>
        <v>0</v>
      </c>
      <c r="AP72" s="3"/>
      <c r="AQ72" s="3">
        <f>SUM(AQ5:AQ71)</f>
        <v>1</v>
      </c>
      <c r="AR72" s="3"/>
      <c r="AS72" s="3">
        <f>IF(COUNTA(G1)=1,G1,AO72+AQ72)</f>
        <v>1</v>
      </c>
    </row>
  </sheetData>
  <mergeCells count="15">
    <mergeCell ref="J4:M4"/>
    <mergeCell ref="B4:E4"/>
    <mergeCell ref="B1:C1"/>
    <mergeCell ref="D1:E1"/>
    <mergeCell ref="F4:I4"/>
    <mergeCell ref="B8:Y8"/>
    <mergeCell ref="N4:Q4"/>
    <mergeCell ref="R4:U4"/>
    <mergeCell ref="V4:Y4"/>
    <mergeCell ref="B6:E6"/>
    <mergeCell ref="F6:I6"/>
    <mergeCell ref="J6:M6"/>
    <mergeCell ref="N6:Q6"/>
    <mergeCell ref="R6:U6"/>
    <mergeCell ref="V6:Y6"/>
  </mergeCells>
  <conditionalFormatting sqref="D1:E1">
    <cfRule type="expression" priority="1" dxfId="0" stopIfTrue="1">
      <formula>$G1&gt;0</formula>
    </cfRule>
  </conditionalFormatting>
  <conditionalFormatting sqref="F1">
    <cfRule type="expression" priority="2" dxfId="1" stopIfTrue="1">
      <formula>$G1&gt;0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BW50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57421875" style="1" customWidth="1"/>
    <col min="3" max="3" width="22.00390625" style="0" customWidth="1"/>
    <col min="4" max="15" width="5.421875" style="0" customWidth="1"/>
    <col min="19" max="19" width="2.7109375" style="0" customWidth="1"/>
    <col min="26" max="26" width="11.421875" style="0" hidden="1" customWidth="1"/>
    <col min="27" max="27" width="5.57421875" style="1" hidden="1" customWidth="1"/>
    <col min="28" max="28" width="22.00390625" style="0" hidden="1" customWidth="1"/>
    <col min="29" max="40" width="5.421875" style="0" hidden="1" customWidth="1"/>
    <col min="41" max="45" width="11.421875" style="0" hidden="1" customWidth="1"/>
  </cols>
  <sheetData>
    <row r="2" spans="2:43" ht="24.75" customHeight="1">
      <c r="B2" s="76" t="str">
        <f>Eingabe!$G$3</f>
        <v>z. B. Monatsblitzturnier</v>
      </c>
      <c r="C2" s="12"/>
      <c r="D2" s="16"/>
      <c r="E2" s="16"/>
      <c r="F2" s="12"/>
      <c r="G2" s="31"/>
      <c r="H2" s="16"/>
      <c r="I2" s="16"/>
      <c r="J2" s="16"/>
      <c r="K2" s="16"/>
      <c r="L2" s="16"/>
      <c r="M2" s="16"/>
      <c r="N2" s="16"/>
      <c r="O2" s="16"/>
      <c r="Q2" s="32" t="s">
        <v>14</v>
      </c>
      <c r="R2" s="33" t="str">
        <f>R20</f>
        <v>??.??.????</v>
      </c>
      <c r="AA2" s="76"/>
      <c r="AB2" s="12"/>
      <c r="AC2" s="16"/>
      <c r="AD2" s="16"/>
      <c r="AE2" s="12"/>
      <c r="AF2" s="31"/>
      <c r="AG2" s="16"/>
      <c r="AH2" s="16"/>
      <c r="AI2" s="16"/>
      <c r="AJ2" s="16"/>
      <c r="AK2" s="16"/>
      <c r="AL2" s="16"/>
      <c r="AM2" s="16"/>
      <c r="AN2" s="16"/>
      <c r="AP2" s="32"/>
      <c r="AQ2" s="33"/>
    </row>
    <row r="3" spans="2:43" s="18" customFormat="1" ht="18.75" thickBot="1">
      <c r="B3" s="1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AA3" s="19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75" s="8" customFormat="1" ht="24.75" customHeight="1">
      <c r="A4" s="6"/>
      <c r="B4" s="20" t="s">
        <v>27</v>
      </c>
      <c r="C4" s="21" t="s">
        <v>28</v>
      </c>
      <c r="D4" s="23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7</v>
      </c>
      <c r="K4" s="23">
        <v>8</v>
      </c>
      <c r="L4" s="23">
        <v>9</v>
      </c>
      <c r="M4" s="23">
        <v>10</v>
      </c>
      <c r="N4" s="23">
        <v>11</v>
      </c>
      <c r="O4" s="27">
        <v>12</v>
      </c>
      <c r="P4" s="21" t="s">
        <v>29</v>
      </c>
      <c r="Q4" s="51" t="s">
        <v>30</v>
      </c>
      <c r="R4" s="22" t="s">
        <v>31</v>
      </c>
      <c r="S4" s="9"/>
      <c r="T4" s="9"/>
      <c r="U4" s="9"/>
      <c r="V4" s="9"/>
      <c r="W4" s="9"/>
      <c r="X4" s="9"/>
      <c r="Y4" s="9"/>
      <c r="Z4" s="9"/>
      <c r="AA4" s="20" t="s">
        <v>27</v>
      </c>
      <c r="AB4" s="21" t="s">
        <v>28</v>
      </c>
      <c r="AC4" s="23">
        <v>1</v>
      </c>
      <c r="AD4" s="23">
        <v>2</v>
      </c>
      <c r="AE4" s="23">
        <v>3</v>
      </c>
      <c r="AF4" s="23">
        <v>4</v>
      </c>
      <c r="AG4" s="23">
        <v>5</v>
      </c>
      <c r="AH4" s="23">
        <v>6</v>
      </c>
      <c r="AI4" s="23">
        <v>7</v>
      </c>
      <c r="AJ4" s="23">
        <v>8</v>
      </c>
      <c r="AK4" s="23">
        <v>9</v>
      </c>
      <c r="AL4" s="23">
        <v>10</v>
      </c>
      <c r="AM4" s="23">
        <v>11</v>
      </c>
      <c r="AN4" s="27">
        <v>12</v>
      </c>
      <c r="AO4" s="21" t="s">
        <v>29</v>
      </c>
      <c r="AP4" s="51" t="s">
        <v>30</v>
      </c>
      <c r="AQ4" s="22" t="s">
        <v>31</v>
      </c>
      <c r="AR4" s="9"/>
      <c r="AS4" s="87" t="s">
        <v>40</v>
      </c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</row>
    <row r="5" spans="2:75" ht="24.75" customHeight="1">
      <c r="B5" s="10">
        <v>1</v>
      </c>
      <c r="C5" s="25" t="str">
        <f aca="true" t="shared" si="0" ref="C5:C16">AB23</f>
        <v>Spieler 1</v>
      </c>
      <c r="D5" s="65" t="str">
        <f aca="true" t="shared" si="1" ref="D5:D16">AC39</f>
        <v> </v>
      </c>
      <c r="E5" s="66" t="str">
        <f aca="true" t="shared" si="2" ref="E5:E16">AD39</f>
        <v> </v>
      </c>
      <c r="F5" s="66" t="str">
        <f aca="true" t="shared" si="3" ref="F5:F16">AE39</f>
        <v> </v>
      </c>
      <c r="G5" s="66" t="str">
        <f aca="true" t="shared" si="4" ref="G5:G16">AF39</f>
        <v> </v>
      </c>
      <c r="H5" s="66" t="str">
        <f aca="true" t="shared" si="5" ref="H5:H16">AG39</f>
        <v> </v>
      </c>
      <c r="I5" s="66" t="str">
        <f aca="true" t="shared" si="6" ref="I5:I16">AH39</f>
        <v> </v>
      </c>
      <c r="J5" s="66" t="str">
        <f aca="true" t="shared" si="7" ref="J5:J16">AI39</f>
        <v> </v>
      </c>
      <c r="K5" s="66" t="str">
        <f aca="true" t="shared" si="8" ref="K5:K16">AJ39</f>
        <v> </v>
      </c>
      <c r="L5" s="66" t="str">
        <f aca="true" t="shared" si="9" ref="L5:L16">AK39</f>
        <v> </v>
      </c>
      <c r="M5" s="66" t="str">
        <f aca="true" t="shared" si="10" ref="M5:M16">AL39</f>
        <v> </v>
      </c>
      <c r="N5" s="66" t="str">
        <f aca="true" t="shared" si="11" ref="N5:N16">AM39</f>
        <v> </v>
      </c>
      <c r="O5" s="29" t="str">
        <f aca="true" t="shared" si="12" ref="O5:O16">AN39</f>
        <v> </v>
      </c>
      <c r="P5" s="72" t="str">
        <f aca="true" t="shared" si="13" ref="P5:P16">AO23</f>
        <v> </v>
      </c>
      <c r="Q5" s="56">
        <f aca="true" t="shared" si="14" ref="Q5:Q16">AP23</f>
      </c>
      <c r="R5" s="58" t="str">
        <f aca="true" t="shared" si="15" ref="R5:R16">AQ23</f>
        <v> </v>
      </c>
      <c r="S5" s="2"/>
      <c r="T5" s="2"/>
      <c r="U5" s="2"/>
      <c r="V5" s="2"/>
      <c r="W5" s="2"/>
      <c r="X5" s="2"/>
      <c r="Y5" s="2"/>
      <c r="Z5" s="2">
        <f>RANK(AS5,$AS$5:$AS$16,0)</f>
        <v>1</v>
      </c>
      <c r="AA5" s="10">
        <v>1</v>
      </c>
      <c r="AB5" s="25" t="str">
        <f>Eingabe!$C$6</f>
        <v>Spieler 1</v>
      </c>
      <c r="AC5" s="65" t="s">
        <v>18</v>
      </c>
      <c r="AD5" s="66" t="str">
        <f>'12 Spieler'!$Y$27</f>
        <v> </v>
      </c>
      <c r="AE5" s="66" t="str">
        <f>'12 Spieler'!$O$43</f>
        <v> </v>
      </c>
      <c r="AF5" s="66" t="str">
        <f>'12 Spieler'!$Q$26</f>
        <v> </v>
      </c>
      <c r="AG5" s="66" t="str">
        <f>'12 Spieler'!$G$44</f>
        <v> </v>
      </c>
      <c r="AH5" s="66" t="str">
        <f>'12 Spieler'!$I$25</f>
        <v> </v>
      </c>
      <c r="AI5" s="66" t="str">
        <f>'12 Spieler'!$W$35</f>
        <v> </v>
      </c>
      <c r="AJ5" s="66" t="str">
        <f>'12 Spieler'!$Y$14</f>
        <v> </v>
      </c>
      <c r="AK5" s="66" t="str">
        <f>'12 Spieler'!$O$36</f>
        <v> </v>
      </c>
      <c r="AL5" s="66" t="str">
        <f>'12 Spieler'!$Q$13</f>
        <v> </v>
      </c>
      <c r="AM5" s="66" t="str">
        <f>'12 Spieler'!$G$37</f>
        <v> </v>
      </c>
      <c r="AN5" s="29" t="str">
        <f>'12 Spieler'!$G$12</f>
        <v> </v>
      </c>
      <c r="AO5" s="72" t="str">
        <f aca="true" t="shared" si="16" ref="AO5:AO16">IF(COUNT($O$23,$N$24,$M$25,$L$26,$K$27,$J$28,$I$29,$H$30,$G$31,$F$32,$E$33,$D$34)&gt;0,SUM(AC5:AN5)," ")</f>
        <v> </v>
      </c>
      <c r="AP5" s="56">
        <f aca="true" t="shared" si="17" ref="AP5:AP16">IF(COUNT($O$23,$N$24,$M$25,$L$26,$K$27,$J$28,$I$29,$H$30,$G$31,$F$32,$E$33,$D$34)&gt;0,IF(OR(AC5=1,AC5=0.5),AC5*$P$23,0)+IF(OR(AD5=1,AD5=0.5),AD5*$P$24,0)+IF(OR(AE5=1,AE5=0.5),AE5*$P$25,0)+IF(OR(AF5=1,AF5=0.5),AF5*$P$26,0)+IF(OR(AG5=1,AG5=0.5),AG5*$P$27,0)+IF(OR(AH5=1,AH5=0.5),AH5*$P$28,0)+IF(OR(AI5=1,AI5=0.5),AI5*$P$29,0)+IF(OR(AJ5=1,AJ5=0.5),AJ5*$P$30,0)+IF(OR(AK5=1,AK5=0.5),AK5*$P$31,0)+IF(OR(AL5=1,AL5=0.5),AL5*$P$32,0)+IF(OR(AM5=1,AM5=0.5),AM5*$P$33,0)+IF(OR(AN5=1,AN5=0.5),AN5*$P$34,0),"")</f>
      </c>
      <c r="AQ5" s="58" t="str">
        <f>IF('Tabelle 12'!$C$5=AB5,'Tabelle 12'!$R$5,"")&amp;IF('Tabelle 12'!$C$6=AB5,'Tabelle 12'!$R$6,"")&amp;IF('Tabelle 12'!$C$7=AB5,'Tabelle 12'!$R$7,"")&amp;IF('Tabelle 12'!$C$8=AB5,'Tabelle 12'!$R$8,"")&amp;IF('Tabelle 12'!$C$9=AB5,'Tabelle 12'!$R$9,"")&amp;IF('Tabelle 12'!$C$10=AB5,'Tabelle 12'!$R$10,"")&amp;IF('Tabelle 12'!$C$11=AB5,'Tabelle 12'!$R$11,"")&amp;IF('Tabelle 12'!$C$12=AB5,'Tabelle 12'!$R$12,"")&amp;IF('Tabelle 12'!$C$13=AB5,'Tabelle 12'!$R$13,"")&amp;IF('Tabelle 12'!$C$14=AB5,'Tabelle 12'!$R$14,"")&amp;IF('Tabelle 12'!$C$15=AB5,'Tabelle 12'!$R$15,"")&amp;IF('Tabelle 12'!$C$16=AB5,'Tabelle 12'!$R$16,"")</f>
        <v> </v>
      </c>
      <c r="AR5" s="85">
        <v>1</v>
      </c>
      <c r="AS5" s="3">
        <f>'Tabelle 12'!N5</f>
        <v>0.12</v>
      </c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2:75" ht="24.75" customHeight="1">
      <c r="B6" s="10">
        <v>2</v>
      </c>
      <c r="C6" s="25" t="str">
        <f t="shared" si="0"/>
        <v>Spieler 2</v>
      </c>
      <c r="D6" s="66" t="str">
        <f t="shared" si="1"/>
        <v> </v>
      </c>
      <c r="E6" s="65" t="str">
        <f t="shared" si="2"/>
        <v> </v>
      </c>
      <c r="F6" s="66" t="str">
        <f t="shared" si="3"/>
        <v> </v>
      </c>
      <c r="G6" s="66" t="str">
        <f t="shared" si="4"/>
        <v> </v>
      </c>
      <c r="H6" s="66" t="str">
        <f t="shared" si="5"/>
        <v> </v>
      </c>
      <c r="I6" s="66" t="str">
        <f t="shared" si="6"/>
        <v> </v>
      </c>
      <c r="J6" s="66" t="str">
        <f t="shared" si="7"/>
        <v> </v>
      </c>
      <c r="K6" s="66" t="str">
        <f t="shared" si="8"/>
        <v> </v>
      </c>
      <c r="L6" s="66" t="str">
        <f t="shared" si="9"/>
        <v> </v>
      </c>
      <c r="M6" s="66" t="str">
        <f t="shared" si="10"/>
        <v> </v>
      </c>
      <c r="N6" s="66" t="str">
        <f t="shared" si="11"/>
        <v> </v>
      </c>
      <c r="O6" s="29" t="str">
        <f t="shared" si="12"/>
        <v> </v>
      </c>
      <c r="P6" s="72" t="str">
        <f t="shared" si="13"/>
        <v> </v>
      </c>
      <c r="Q6" s="56">
        <f t="shared" si="14"/>
      </c>
      <c r="R6" s="58" t="str">
        <f t="shared" si="15"/>
        <v> </v>
      </c>
      <c r="S6" s="2"/>
      <c r="T6" s="2"/>
      <c r="U6" s="2"/>
      <c r="V6" s="2"/>
      <c r="W6" s="2"/>
      <c r="X6" s="2"/>
      <c r="Y6" s="2"/>
      <c r="Z6" s="2">
        <f aca="true" t="shared" si="18" ref="Z6:Z16">RANK(AS6,$AS$5:$AS$16,0)</f>
        <v>2</v>
      </c>
      <c r="AA6" s="10">
        <v>2</v>
      </c>
      <c r="AB6" s="25" t="str">
        <f>Eingabe!$C$7</f>
        <v>Spieler 2</v>
      </c>
      <c r="AC6" s="66" t="str">
        <f>'12 Spieler'!$W$27</f>
        <v> </v>
      </c>
      <c r="AD6" s="65" t="s">
        <v>18</v>
      </c>
      <c r="AE6" s="66" t="str">
        <f>'12 Spieler'!$Q$27</f>
        <v> </v>
      </c>
      <c r="AF6" s="66" t="str">
        <f>'12 Spieler'!$G$43</f>
        <v> </v>
      </c>
      <c r="AG6" s="66" t="str">
        <f>'12 Spieler'!$I$26</f>
        <v> </v>
      </c>
      <c r="AH6" s="66" t="str">
        <f>'12 Spieler'!$W$34</f>
        <v> </v>
      </c>
      <c r="AI6" s="66" t="str">
        <f>'12 Spieler'!$Y$15</f>
        <v> </v>
      </c>
      <c r="AJ6" s="66" t="str">
        <f>'12 Spieler'!$O$35</f>
        <v> </v>
      </c>
      <c r="AK6" s="66" t="str">
        <f>'12 Spieler'!$Q$14</f>
        <v> </v>
      </c>
      <c r="AL6" s="66" t="str">
        <f>'12 Spieler'!$G$36</f>
        <v> </v>
      </c>
      <c r="AM6" s="66" t="str">
        <f>'12 Spieler'!$I$13</f>
        <v> </v>
      </c>
      <c r="AN6" s="29" t="str">
        <f>'12 Spieler'!$O$42</f>
        <v> </v>
      </c>
      <c r="AO6" s="72" t="str">
        <f t="shared" si="16"/>
        <v> </v>
      </c>
      <c r="AP6" s="56">
        <f t="shared" si="17"/>
      </c>
      <c r="AQ6" s="58" t="str">
        <f>IF('Tabelle 12'!$C$5=AB6,'Tabelle 12'!$R$5,"")&amp;IF('Tabelle 12'!$C$6=AB6,'Tabelle 12'!$R$6,"")&amp;IF('Tabelle 12'!$C$7=AB6,'Tabelle 12'!$R$7,"")&amp;IF('Tabelle 12'!$C$8=AB6,'Tabelle 12'!$R$8,"")&amp;IF('Tabelle 12'!$C$9=AB6,'Tabelle 12'!$R$9,"")&amp;IF('Tabelle 12'!$C$10=AB6,'Tabelle 12'!$R$10,"")&amp;IF('Tabelle 12'!$C$11=AB6,'Tabelle 12'!$R$11,"")&amp;IF('Tabelle 12'!$C$12=AB6,'Tabelle 12'!$R$12,"")&amp;IF('Tabelle 12'!$C$13=AB6,'Tabelle 12'!$R$13,"")&amp;IF('Tabelle 12'!$C$14=AB6,'Tabelle 12'!$R$14,"")&amp;IF('Tabelle 12'!$C$15=AB6,'Tabelle 12'!$R$15,"")&amp;IF('Tabelle 12'!$C$16=AB6,'Tabelle 12'!$R$16,"")</f>
        <v> </v>
      </c>
      <c r="AR6" s="85">
        <v>2</v>
      </c>
      <c r="AS6" s="3">
        <f>'Tabelle 12'!N6</f>
        <v>0.11</v>
      </c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2:75" ht="24.75" customHeight="1">
      <c r="B7" s="10">
        <v>3</v>
      </c>
      <c r="C7" s="25" t="str">
        <f t="shared" si="0"/>
        <v>Spieler 3</v>
      </c>
      <c r="D7" s="66" t="str">
        <f t="shared" si="1"/>
        <v> </v>
      </c>
      <c r="E7" s="66" t="str">
        <f t="shared" si="2"/>
        <v> </v>
      </c>
      <c r="F7" s="65" t="str">
        <f t="shared" si="3"/>
        <v> </v>
      </c>
      <c r="G7" s="66" t="str">
        <f t="shared" si="4"/>
        <v> </v>
      </c>
      <c r="H7" s="66" t="str">
        <f t="shared" si="5"/>
        <v> </v>
      </c>
      <c r="I7" s="66" t="str">
        <f t="shared" si="6"/>
        <v> </v>
      </c>
      <c r="J7" s="66" t="str">
        <f t="shared" si="7"/>
        <v> </v>
      </c>
      <c r="K7" s="66" t="str">
        <f t="shared" si="8"/>
        <v> </v>
      </c>
      <c r="L7" s="66" t="str">
        <f t="shared" si="9"/>
        <v> </v>
      </c>
      <c r="M7" s="66" t="str">
        <f t="shared" si="10"/>
        <v> </v>
      </c>
      <c r="N7" s="66" t="str">
        <f t="shared" si="11"/>
        <v> </v>
      </c>
      <c r="O7" s="29" t="str">
        <f t="shared" si="12"/>
        <v> </v>
      </c>
      <c r="P7" s="72" t="str">
        <f t="shared" si="13"/>
        <v> </v>
      </c>
      <c r="Q7" s="56">
        <f t="shared" si="14"/>
      </c>
      <c r="R7" s="58" t="str">
        <f t="shared" si="15"/>
        <v> </v>
      </c>
      <c r="S7" s="2"/>
      <c r="T7" s="2"/>
      <c r="U7" s="2"/>
      <c r="V7" s="2"/>
      <c r="W7" s="2"/>
      <c r="X7" s="2"/>
      <c r="Y7" s="2"/>
      <c r="Z7" s="2">
        <f t="shared" si="18"/>
        <v>3</v>
      </c>
      <c r="AA7" s="10">
        <v>3</v>
      </c>
      <c r="AB7" s="25" t="str">
        <f>Eingabe!$C$8</f>
        <v>Spieler 3</v>
      </c>
      <c r="AC7" s="66" t="str">
        <f>'12 Spieler'!$Q$43</f>
        <v> </v>
      </c>
      <c r="AD7" s="66" t="str">
        <f>'12 Spieler'!$O$27</f>
        <v> </v>
      </c>
      <c r="AE7" s="65" t="s">
        <v>18</v>
      </c>
      <c r="AF7" s="66" t="str">
        <f>'12 Spieler'!$I$27</f>
        <v> </v>
      </c>
      <c r="AG7" s="66" t="str">
        <f>'12 Spieler'!$W$33</f>
        <v> </v>
      </c>
      <c r="AH7" s="66" t="str">
        <f>'12 Spieler'!$Y$16</f>
        <v> </v>
      </c>
      <c r="AI7" s="66" t="str">
        <f>'12 Spieler'!$O$34</f>
        <v> </v>
      </c>
      <c r="AJ7" s="66" t="str">
        <f>'12 Spieler'!$Q$15</f>
        <v> </v>
      </c>
      <c r="AK7" s="66" t="str">
        <f>'12 Spieler'!$G$35</f>
        <v> </v>
      </c>
      <c r="AL7" s="66" t="str">
        <f>'12 Spieler'!$I$14</f>
        <v> </v>
      </c>
      <c r="AM7" s="66" t="str">
        <f>'12 Spieler'!$W$26</f>
        <v> </v>
      </c>
      <c r="AN7" s="29" t="str">
        <f>'12 Spieler'!$G$42</f>
        <v> </v>
      </c>
      <c r="AO7" s="72" t="str">
        <f t="shared" si="16"/>
        <v> </v>
      </c>
      <c r="AP7" s="56">
        <f t="shared" si="17"/>
      </c>
      <c r="AQ7" s="58" t="str">
        <f>IF('Tabelle 12'!$C$5=AB7,'Tabelle 12'!$R$5,"")&amp;IF('Tabelle 12'!$C$6=AB7,'Tabelle 12'!$R$6,"")&amp;IF('Tabelle 12'!$C$7=AB7,'Tabelle 12'!$R$7,"")&amp;IF('Tabelle 12'!$C$8=AB7,'Tabelle 12'!$R$8,"")&amp;IF('Tabelle 12'!$C$9=AB7,'Tabelle 12'!$R$9,"")&amp;IF('Tabelle 12'!$C$10=AB7,'Tabelle 12'!$R$10,"")&amp;IF('Tabelle 12'!$C$11=AB7,'Tabelle 12'!$R$11,"")&amp;IF('Tabelle 12'!$C$12=AB7,'Tabelle 12'!$R$12,"")&amp;IF('Tabelle 12'!$C$13=AB7,'Tabelle 12'!$R$13,"")&amp;IF('Tabelle 12'!$C$14=AB7,'Tabelle 12'!$R$14,"")&amp;IF('Tabelle 12'!$C$15=AB7,'Tabelle 12'!$R$15,"")&amp;IF('Tabelle 12'!$C$16=AB7,'Tabelle 12'!$R$16,"")</f>
        <v> </v>
      </c>
      <c r="AR7" s="85">
        <v>3</v>
      </c>
      <c r="AS7" s="3">
        <f>'Tabelle 12'!N7</f>
        <v>0.1</v>
      </c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2:75" ht="24.75" customHeight="1">
      <c r="B8" s="10">
        <v>4</v>
      </c>
      <c r="C8" s="25" t="str">
        <f t="shared" si="0"/>
        <v>Spieler 4</v>
      </c>
      <c r="D8" s="66" t="str">
        <f t="shared" si="1"/>
        <v> </v>
      </c>
      <c r="E8" s="66" t="str">
        <f t="shared" si="2"/>
        <v> </v>
      </c>
      <c r="F8" s="66" t="str">
        <f t="shared" si="3"/>
        <v> </v>
      </c>
      <c r="G8" s="65" t="str">
        <f t="shared" si="4"/>
        <v> </v>
      </c>
      <c r="H8" s="66" t="str">
        <f t="shared" si="5"/>
        <v> </v>
      </c>
      <c r="I8" s="66" t="str">
        <f t="shared" si="6"/>
        <v> </v>
      </c>
      <c r="J8" s="66" t="str">
        <f t="shared" si="7"/>
        <v> </v>
      </c>
      <c r="K8" s="66" t="str">
        <f t="shared" si="8"/>
        <v> </v>
      </c>
      <c r="L8" s="66" t="str">
        <f t="shared" si="9"/>
        <v> </v>
      </c>
      <c r="M8" s="66" t="str">
        <f t="shared" si="10"/>
        <v> </v>
      </c>
      <c r="N8" s="66" t="str">
        <f t="shared" si="11"/>
        <v> </v>
      </c>
      <c r="O8" s="29" t="str">
        <f t="shared" si="12"/>
        <v> </v>
      </c>
      <c r="P8" s="72" t="str">
        <f t="shared" si="13"/>
        <v> </v>
      </c>
      <c r="Q8" s="56">
        <f t="shared" si="14"/>
      </c>
      <c r="R8" s="58" t="str">
        <f t="shared" si="15"/>
        <v> </v>
      </c>
      <c r="S8" s="2"/>
      <c r="T8" s="2"/>
      <c r="U8" s="2"/>
      <c r="V8" s="2"/>
      <c r="W8" s="2"/>
      <c r="X8" s="2"/>
      <c r="Y8" s="2"/>
      <c r="Z8" s="2">
        <f t="shared" si="18"/>
        <v>4</v>
      </c>
      <c r="AA8" s="10">
        <v>4</v>
      </c>
      <c r="AB8" s="25" t="str">
        <f>Eingabe!$C$9</f>
        <v>Spieler 4</v>
      </c>
      <c r="AC8" s="66" t="str">
        <f>'12 Spieler'!$O$26</f>
        <v> </v>
      </c>
      <c r="AD8" s="66" t="str">
        <f>'12 Spieler'!$I$43</f>
        <v> </v>
      </c>
      <c r="AE8" s="66" t="str">
        <f>'12 Spieler'!$G$27</f>
        <v> </v>
      </c>
      <c r="AF8" s="65" t="s">
        <v>18</v>
      </c>
      <c r="AG8" s="66" t="str">
        <f>'12 Spieler'!$Y$17</f>
        <v> </v>
      </c>
      <c r="AH8" s="66" t="str">
        <f>'12 Spieler'!$O$33</f>
        <v> </v>
      </c>
      <c r="AI8" s="66" t="str">
        <f>'12 Spieler'!$Q$16</f>
        <v> </v>
      </c>
      <c r="AJ8" s="66" t="str">
        <f>'12 Spieler'!$G$34</f>
        <v> </v>
      </c>
      <c r="AK8" s="66" t="str">
        <f>'12 Spieler'!$I$15</f>
        <v> </v>
      </c>
      <c r="AL8" s="66" t="str">
        <f>'12 Spieler'!$W$25</f>
        <v> </v>
      </c>
      <c r="AM8" s="66" t="str">
        <f>'12 Spieler'!$Q$44</f>
        <v> </v>
      </c>
      <c r="AN8" s="29" t="str">
        <f>'12 Spieler'!$W$32</f>
        <v> </v>
      </c>
      <c r="AO8" s="72" t="str">
        <f t="shared" si="16"/>
        <v> </v>
      </c>
      <c r="AP8" s="56">
        <f t="shared" si="17"/>
      </c>
      <c r="AQ8" s="58" t="str">
        <f>IF('Tabelle 12'!$C$5=AB8,'Tabelle 12'!$R$5,"")&amp;IF('Tabelle 12'!$C$6=AB8,'Tabelle 12'!$R$6,"")&amp;IF('Tabelle 12'!$C$7=AB8,'Tabelle 12'!$R$7,"")&amp;IF('Tabelle 12'!$C$8=AB8,'Tabelle 12'!$R$8,"")&amp;IF('Tabelle 12'!$C$9=AB8,'Tabelle 12'!$R$9,"")&amp;IF('Tabelle 12'!$C$10=AB8,'Tabelle 12'!$R$10,"")&amp;IF('Tabelle 12'!$C$11=AB8,'Tabelle 12'!$R$11,"")&amp;IF('Tabelle 12'!$C$12=AB8,'Tabelle 12'!$R$12,"")&amp;IF('Tabelle 12'!$C$13=AB8,'Tabelle 12'!$R$13,"")&amp;IF('Tabelle 12'!$C$14=AB8,'Tabelle 12'!$R$14,"")&amp;IF('Tabelle 12'!$C$15=AB8,'Tabelle 12'!$R$15,"")&amp;IF('Tabelle 12'!$C$16=AB8,'Tabelle 12'!$R$16,"")</f>
        <v> </v>
      </c>
      <c r="AR8" s="86">
        <v>4</v>
      </c>
      <c r="AS8" s="3">
        <f>'Tabelle 12'!N8</f>
        <v>0.09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2:75" ht="24.75" customHeight="1">
      <c r="B9" s="10">
        <v>5</v>
      </c>
      <c r="C9" s="25" t="str">
        <f t="shared" si="0"/>
        <v>Spieler 5</v>
      </c>
      <c r="D9" s="66" t="str">
        <f t="shared" si="1"/>
        <v> </v>
      </c>
      <c r="E9" s="66" t="str">
        <f t="shared" si="2"/>
        <v> </v>
      </c>
      <c r="F9" s="66" t="str">
        <f t="shared" si="3"/>
        <v> </v>
      </c>
      <c r="G9" s="66" t="str">
        <f t="shared" si="4"/>
        <v> </v>
      </c>
      <c r="H9" s="65" t="str">
        <f t="shared" si="5"/>
        <v> </v>
      </c>
      <c r="I9" s="66" t="str">
        <f t="shared" si="6"/>
        <v> </v>
      </c>
      <c r="J9" s="66" t="str">
        <f t="shared" si="7"/>
        <v> </v>
      </c>
      <c r="K9" s="66" t="str">
        <f t="shared" si="8"/>
        <v> </v>
      </c>
      <c r="L9" s="66" t="str">
        <f t="shared" si="9"/>
        <v> </v>
      </c>
      <c r="M9" s="66" t="str">
        <f t="shared" si="10"/>
        <v> </v>
      </c>
      <c r="N9" s="66" t="str">
        <f t="shared" si="11"/>
        <v> </v>
      </c>
      <c r="O9" s="29" t="str">
        <f t="shared" si="12"/>
        <v> </v>
      </c>
      <c r="P9" s="72" t="str">
        <f t="shared" si="13"/>
        <v> </v>
      </c>
      <c r="Q9" s="56">
        <f t="shared" si="14"/>
      </c>
      <c r="R9" s="58" t="str">
        <f t="shared" si="15"/>
        <v> </v>
      </c>
      <c r="S9" s="2"/>
      <c r="T9" s="2"/>
      <c r="U9" s="2"/>
      <c r="V9" s="2"/>
      <c r="W9" s="2"/>
      <c r="X9" s="2"/>
      <c r="Y9" s="2"/>
      <c r="Z9" s="2">
        <f t="shared" si="18"/>
        <v>5</v>
      </c>
      <c r="AA9" s="10">
        <v>5</v>
      </c>
      <c r="AB9" s="25" t="str">
        <f>Eingabe!$C$10</f>
        <v>Spieler 5</v>
      </c>
      <c r="AC9" s="66" t="str">
        <f>'12 Spieler'!$I$44</f>
        <v> </v>
      </c>
      <c r="AD9" s="66" t="str">
        <f>'12 Spieler'!$G$26</f>
        <v> </v>
      </c>
      <c r="AE9" s="66" t="str">
        <f>'12 Spieler'!$Y$33</f>
        <v> </v>
      </c>
      <c r="AF9" s="66" t="str">
        <f>'12 Spieler'!$W$17</f>
        <v> </v>
      </c>
      <c r="AG9" s="65" t="s">
        <v>18</v>
      </c>
      <c r="AH9" s="66" t="str">
        <f>'12 Spieler'!$Q$17</f>
        <v> </v>
      </c>
      <c r="AI9" s="66" t="str">
        <f>'12 Spieler'!$G$33</f>
        <v> </v>
      </c>
      <c r="AJ9" s="66" t="str">
        <f>'12 Spieler'!$I$16</f>
        <v> </v>
      </c>
      <c r="AK9" s="66" t="str">
        <f>'12 Spieler'!$W$24</f>
        <v> </v>
      </c>
      <c r="AL9" s="66" t="str">
        <f>'12 Spieler'!$Q$45</f>
        <v> </v>
      </c>
      <c r="AM9" s="66" t="str">
        <f>'12 Spieler'!$O$25</f>
        <v> </v>
      </c>
      <c r="AN9" s="29" t="str">
        <f>'12 Spieler'!$O$32</f>
        <v> </v>
      </c>
      <c r="AO9" s="72" t="str">
        <f t="shared" si="16"/>
        <v> </v>
      </c>
      <c r="AP9" s="56">
        <f t="shared" si="17"/>
      </c>
      <c r="AQ9" s="58" t="str">
        <f>IF('Tabelle 12'!$C$5=AB9,'Tabelle 12'!$R$5,"")&amp;IF('Tabelle 12'!$C$6=AB9,'Tabelle 12'!$R$6,"")&amp;IF('Tabelle 12'!$C$7=AB9,'Tabelle 12'!$R$7,"")&amp;IF('Tabelle 12'!$C$8=AB9,'Tabelle 12'!$R$8,"")&amp;IF('Tabelle 12'!$C$9=AB9,'Tabelle 12'!$R$9,"")&amp;IF('Tabelle 12'!$C$10=AB9,'Tabelle 12'!$R$10,"")&amp;IF('Tabelle 12'!$C$11=AB9,'Tabelle 12'!$R$11,"")&amp;IF('Tabelle 12'!$C$12=AB9,'Tabelle 12'!$R$12,"")&amp;IF('Tabelle 12'!$C$13=AB9,'Tabelle 12'!$R$13,"")&amp;IF('Tabelle 12'!$C$14=AB9,'Tabelle 12'!$R$14,"")&amp;IF('Tabelle 12'!$C$15=AB9,'Tabelle 12'!$R$15,"")&amp;IF('Tabelle 12'!$C$16=AB9,'Tabelle 12'!$R$16,"")</f>
        <v> </v>
      </c>
      <c r="AR9" s="86">
        <v>5</v>
      </c>
      <c r="AS9" s="3">
        <f>'Tabelle 12'!N9</f>
        <v>0.08</v>
      </c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2:75" ht="24.75" customHeight="1">
      <c r="B10" s="10">
        <v>6</v>
      </c>
      <c r="C10" s="25" t="str">
        <f t="shared" si="0"/>
        <v>Spieler 6</v>
      </c>
      <c r="D10" s="66" t="str">
        <f t="shared" si="1"/>
        <v> </v>
      </c>
      <c r="E10" s="66" t="str">
        <f t="shared" si="2"/>
        <v> </v>
      </c>
      <c r="F10" s="66" t="str">
        <f t="shared" si="3"/>
        <v> </v>
      </c>
      <c r="G10" s="66" t="str">
        <f t="shared" si="4"/>
        <v> </v>
      </c>
      <c r="H10" s="66" t="str">
        <f t="shared" si="5"/>
        <v> </v>
      </c>
      <c r="I10" s="65" t="str">
        <f t="shared" si="6"/>
        <v> </v>
      </c>
      <c r="J10" s="66" t="str">
        <f t="shared" si="7"/>
        <v> </v>
      </c>
      <c r="K10" s="66" t="str">
        <f t="shared" si="8"/>
        <v> </v>
      </c>
      <c r="L10" s="66" t="str">
        <f t="shared" si="9"/>
        <v> </v>
      </c>
      <c r="M10" s="66" t="str">
        <f t="shared" si="10"/>
        <v> </v>
      </c>
      <c r="N10" s="66" t="str">
        <f t="shared" si="11"/>
        <v> </v>
      </c>
      <c r="O10" s="29" t="str">
        <f t="shared" si="12"/>
        <v> </v>
      </c>
      <c r="P10" s="72" t="str">
        <f t="shared" si="13"/>
        <v> </v>
      </c>
      <c r="Q10" s="56">
        <f t="shared" si="14"/>
      </c>
      <c r="R10" s="58" t="str">
        <f t="shared" si="15"/>
        <v> </v>
      </c>
      <c r="S10" s="2"/>
      <c r="T10" s="2"/>
      <c r="U10" s="2"/>
      <c r="V10" s="2"/>
      <c r="W10" s="2"/>
      <c r="X10" s="2"/>
      <c r="Y10" s="2"/>
      <c r="Z10" s="2">
        <f t="shared" si="18"/>
        <v>6</v>
      </c>
      <c r="AA10" s="10">
        <v>6</v>
      </c>
      <c r="AB10" s="25" t="str">
        <f>Eingabe!$C$11</f>
        <v>Spieler 6</v>
      </c>
      <c r="AC10" s="66" t="str">
        <f>'12 Spieler'!$G$25</f>
        <v> </v>
      </c>
      <c r="AD10" s="66" t="str">
        <f>'12 Spieler'!$Y$34</f>
        <v> </v>
      </c>
      <c r="AE10" s="66" t="str">
        <f>'12 Spieler'!$W$16</f>
        <v> </v>
      </c>
      <c r="AF10" s="66" t="str">
        <f>'12 Spieler'!$Q$33</f>
        <v> </v>
      </c>
      <c r="AG10" s="66" t="str">
        <f>'12 Spieler'!$O$17</f>
        <v> </v>
      </c>
      <c r="AH10" s="65" t="s">
        <v>18</v>
      </c>
      <c r="AI10" s="66" t="str">
        <f>'12 Spieler'!$I$17</f>
        <v> </v>
      </c>
      <c r="AJ10" s="66" t="str">
        <f>'12 Spieler'!$W$23</f>
        <v> </v>
      </c>
      <c r="AK10" s="66" t="str">
        <f>'12 Spieler'!$Q$46</f>
        <v> </v>
      </c>
      <c r="AL10" s="66" t="str">
        <f>'12 Spieler'!$O$24</f>
        <v> </v>
      </c>
      <c r="AM10" s="66" t="str">
        <f>'12 Spieler'!$I$45</f>
        <v> </v>
      </c>
      <c r="AN10" s="29" t="str">
        <f>'12 Spieler'!$G$32</f>
        <v> </v>
      </c>
      <c r="AO10" s="72" t="str">
        <f t="shared" si="16"/>
        <v> </v>
      </c>
      <c r="AP10" s="56">
        <f t="shared" si="17"/>
      </c>
      <c r="AQ10" s="58" t="str">
        <f>IF('Tabelle 12'!$C$5=AB10,'Tabelle 12'!$R$5,"")&amp;IF('Tabelle 12'!$C$6=AB10,'Tabelle 12'!$R$6,"")&amp;IF('Tabelle 12'!$C$7=AB10,'Tabelle 12'!$R$7,"")&amp;IF('Tabelle 12'!$C$8=AB10,'Tabelle 12'!$R$8,"")&amp;IF('Tabelle 12'!$C$9=AB10,'Tabelle 12'!$R$9,"")&amp;IF('Tabelle 12'!$C$10=AB10,'Tabelle 12'!$R$10,"")&amp;IF('Tabelle 12'!$C$11=AB10,'Tabelle 12'!$R$11,"")&amp;IF('Tabelle 12'!$C$12=AB10,'Tabelle 12'!$R$12,"")&amp;IF('Tabelle 12'!$C$13=AB10,'Tabelle 12'!$R$13,"")&amp;IF('Tabelle 12'!$C$14=AB10,'Tabelle 12'!$R$14,"")&amp;IF('Tabelle 12'!$C$15=AB10,'Tabelle 12'!$R$15,"")&amp;IF('Tabelle 12'!$C$16=AB10,'Tabelle 12'!$R$16,"")</f>
        <v> </v>
      </c>
      <c r="AR10" s="86">
        <v>6</v>
      </c>
      <c r="AS10" s="3">
        <f>'Tabelle 12'!N10</f>
        <v>0.07</v>
      </c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2:75" ht="24.75" customHeight="1">
      <c r="B11" s="10">
        <v>7</v>
      </c>
      <c r="C11" s="25" t="str">
        <f t="shared" si="0"/>
        <v>Spieler 7</v>
      </c>
      <c r="D11" s="66" t="str">
        <f t="shared" si="1"/>
        <v> </v>
      </c>
      <c r="E11" s="66" t="str">
        <f t="shared" si="2"/>
        <v> </v>
      </c>
      <c r="F11" s="66" t="str">
        <f t="shared" si="3"/>
        <v> </v>
      </c>
      <c r="G11" s="66" t="str">
        <f t="shared" si="4"/>
        <v> </v>
      </c>
      <c r="H11" s="66" t="str">
        <f t="shared" si="5"/>
        <v> </v>
      </c>
      <c r="I11" s="66" t="str">
        <f t="shared" si="6"/>
        <v> </v>
      </c>
      <c r="J11" s="65" t="str">
        <f t="shared" si="7"/>
        <v> </v>
      </c>
      <c r="K11" s="66" t="str">
        <f t="shared" si="8"/>
        <v> </v>
      </c>
      <c r="L11" s="66" t="str">
        <f t="shared" si="9"/>
        <v> </v>
      </c>
      <c r="M11" s="66" t="str">
        <f t="shared" si="10"/>
        <v> </v>
      </c>
      <c r="N11" s="66" t="str">
        <f t="shared" si="11"/>
        <v> </v>
      </c>
      <c r="O11" s="29" t="str">
        <f t="shared" si="12"/>
        <v> </v>
      </c>
      <c r="P11" s="72" t="str">
        <f t="shared" si="13"/>
        <v> </v>
      </c>
      <c r="Q11" s="56">
        <f t="shared" si="14"/>
      </c>
      <c r="R11" s="58" t="str">
        <f t="shared" si="15"/>
        <v> </v>
      </c>
      <c r="S11" s="2"/>
      <c r="T11" s="2"/>
      <c r="U11" s="2"/>
      <c r="V11" s="2"/>
      <c r="W11" s="2"/>
      <c r="X11" s="2"/>
      <c r="Y11" s="2"/>
      <c r="Z11" s="2">
        <f t="shared" si="18"/>
        <v>7</v>
      </c>
      <c r="AA11" s="10">
        <v>7</v>
      </c>
      <c r="AB11" s="25" t="str">
        <f>Eingabe!$C$12</f>
        <v>Spieler 7</v>
      </c>
      <c r="AC11" s="66" t="str">
        <f>'12 Spieler'!$Y$35</f>
        <v> </v>
      </c>
      <c r="AD11" s="66" t="str">
        <f>'12 Spieler'!$W$15</f>
        <v> </v>
      </c>
      <c r="AE11" s="66" t="str">
        <f>'12 Spieler'!$Q$34</f>
        <v> </v>
      </c>
      <c r="AF11" s="66" t="str">
        <f>'12 Spieler'!$O$16</f>
        <v> </v>
      </c>
      <c r="AG11" s="66" t="str">
        <f>'12 Spieler'!$I$33</f>
        <v> </v>
      </c>
      <c r="AH11" s="66" t="str">
        <f>'12 Spieler'!$G$17</f>
        <v> </v>
      </c>
      <c r="AI11" s="65" t="s">
        <v>18</v>
      </c>
      <c r="AJ11" s="66" t="str">
        <f>'12 Spieler'!$Q$47</f>
        <v> </v>
      </c>
      <c r="AK11" s="66" t="str">
        <f>'12 Spieler'!$O$23</f>
        <v> </v>
      </c>
      <c r="AL11" s="66" t="str">
        <f>'12 Spieler'!$I$46</f>
        <v> </v>
      </c>
      <c r="AM11" s="66" t="str">
        <f>'12 Spieler'!$G$24</f>
        <v> </v>
      </c>
      <c r="AN11" s="29" t="str">
        <f>'12 Spieler'!$W$22</f>
        <v> </v>
      </c>
      <c r="AO11" s="72" t="str">
        <f t="shared" si="16"/>
        <v> </v>
      </c>
      <c r="AP11" s="56">
        <f t="shared" si="17"/>
      </c>
      <c r="AQ11" s="58" t="str">
        <f>IF('Tabelle 12'!$C$5=AB11,'Tabelle 12'!$R$5,"")&amp;IF('Tabelle 12'!$C$6=AB11,'Tabelle 12'!$R$6,"")&amp;IF('Tabelle 12'!$C$7=AB11,'Tabelle 12'!$R$7,"")&amp;IF('Tabelle 12'!$C$8=AB11,'Tabelle 12'!$R$8,"")&amp;IF('Tabelle 12'!$C$9=AB11,'Tabelle 12'!$R$9,"")&amp;IF('Tabelle 12'!$C$10=AB11,'Tabelle 12'!$R$10,"")&amp;IF('Tabelle 12'!$C$11=AB11,'Tabelle 12'!$R$11,"")&amp;IF('Tabelle 12'!$C$12=AB11,'Tabelle 12'!$R$12,"")&amp;IF('Tabelle 12'!$C$13=AB11,'Tabelle 12'!$R$13,"")&amp;IF('Tabelle 12'!$C$14=AB11,'Tabelle 12'!$R$14,"")&amp;IF('Tabelle 12'!$C$15=AB11,'Tabelle 12'!$R$15,"")&amp;IF('Tabelle 12'!$C$16=AB11,'Tabelle 12'!$R$16,"")</f>
        <v> </v>
      </c>
      <c r="AR11" s="86">
        <v>7</v>
      </c>
      <c r="AS11" s="3">
        <f>'Tabelle 12'!N11</f>
        <v>0.06</v>
      </c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2:75" ht="24.75" customHeight="1">
      <c r="B12" s="10">
        <v>8</v>
      </c>
      <c r="C12" s="25" t="str">
        <f t="shared" si="0"/>
        <v>Spieler 8</v>
      </c>
      <c r="D12" s="66" t="str">
        <f t="shared" si="1"/>
        <v> </v>
      </c>
      <c r="E12" s="66" t="str">
        <f t="shared" si="2"/>
        <v> </v>
      </c>
      <c r="F12" s="66" t="str">
        <f t="shared" si="3"/>
        <v> </v>
      </c>
      <c r="G12" s="66" t="str">
        <f t="shared" si="4"/>
        <v> </v>
      </c>
      <c r="H12" s="66" t="str">
        <f t="shared" si="5"/>
        <v> </v>
      </c>
      <c r="I12" s="66" t="str">
        <f t="shared" si="6"/>
        <v> </v>
      </c>
      <c r="J12" s="66" t="str">
        <f t="shared" si="7"/>
        <v> </v>
      </c>
      <c r="K12" s="65" t="str">
        <f t="shared" si="8"/>
        <v> </v>
      </c>
      <c r="L12" s="66" t="str">
        <f t="shared" si="9"/>
        <v> </v>
      </c>
      <c r="M12" s="66" t="str">
        <f t="shared" si="10"/>
        <v> </v>
      </c>
      <c r="N12" s="66" t="str">
        <f t="shared" si="11"/>
        <v> </v>
      </c>
      <c r="O12" s="29" t="str">
        <f t="shared" si="12"/>
        <v> </v>
      </c>
      <c r="P12" s="72" t="str">
        <f t="shared" si="13"/>
        <v> </v>
      </c>
      <c r="Q12" s="56">
        <f t="shared" si="14"/>
      </c>
      <c r="R12" s="58" t="str">
        <f t="shared" si="15"/>
        <v> </v>
      </c>
      <c r="S12" s="2"/>
      <c r="T12" s="2"/>
      <c r="U12" s="2"/>
      <c r="V12" s="2"/>
      <c r="W12" s="2"/>
      <c r="X12" s="2"/>
      <c r="Y12" s="2"/>
      <c r="Z12" s="2">
        <f t="shared" si="18"/>
        <v>8</v>
      </c>
      <c r="AA12" s="10">
        <v>8</v>
      </c>
      <c r="AB12" s="25" t="str">
        <f>Eingabe!$C$13</f>
        <v>Spieler 8</v>
      </c>
      <c r="AC12" s="66" t="str">
        <f>'12 Spieler'!$W$14</f>
        <v> </v>
      </c>
      <c r="AD12" s="66" t="str">
        <f>'12 Spieler'!$Q$35</f>
        <v> </v>
      </c>
      <c r="AE12" s="66" t="str">
        <f>'12 Spieler'!$O$15</f>
        <v> </v>
      </c>
      <c r="AF12" s="66" t="str">
        <f>'12 Spieler'!$I$34</f>
        <v> </v>
      </c>
      <c r="AG12" s="66" t="str">
        <f>'12 Spieler'!$G$16</f>
        <v> </v>
      </c>
      <c r="AH12" s="66" t="str">
        <f>'12 Spieler'!$Y$23</f>
        <v> </v>
      </c>
      <c r="AI12" s="66" t="str">
        <f>'12 Spieler'!$O$47</f>
        <v> </v>
      </c>
      <c r="AJ12" s="65" t="s">
        <v>18</v>
      </c>
      <c r="AK12" s="66" t="str">
        <f>'12 Spieler'!$I$47</f>
        <v> </v>
      </c>
      <c r="AL12" s="66" t="str">
        <f>'12 Spieler'!$G$23</f>
        <v> </v>
      </c>
      <c r="AM12" s="66" t="str">
        <f>'12 Spieler'!$Y$36</f>
        <v> </v>
      </c>
      <c r="AN12" s="29" t="str">
        <f>'12 Spieler'!$O$22</f>
        <v> </v>
      </c>
      <c r="AO12" s="72" t="str">
        <f t="shared" si="16"/>
        <v> </v>
      </c>
      <c r="AP12" s="56">
        <f t="shared" si="17"/>
      </c>
      <c r="AQ12" s="58" t="str">
        <f>IF('Tabelle 12'!$C$5=AB12,'Tabelle 12'!$R$5,"")&amp;IF('Tabelle 12'!$C$6=AB12,'Tabelle 12'!$R$6,"")&amp;IF('Tabelle 12'!$C$7=AB12,'Tabelle 12'!$R$7,"")&amp;IF('Tabelle 12'!$C$8=AB12,'Tabelle 12'!$R$8,"")&amp;IF('Tabelle 12'!$C$9=AB12,'Tabelle 12'!$R$9,"")&amp;IF('Tabelle 12'!$C$10=AB12,'Tabelle 12'!$R$10,"")&amp;IF('Tabelle 12'!$C$11=AB12,'Tabelle 12'!$R$11,"")&amp;IF('Tabelle 12'!$C$12=AB12,'Tabelle 12'!$R$12,"")&amp;IF('Tabelle 12'!$C$13=AB12,'Tabelle 12'!$R$13,"")&amp;IF('Tabelle 12'!$C$14=AB12,'Tabelle 12'!$R$14,"")&amp;IF('Tabelle 12'!$C$15=AB12,'Tabelle 12'!$R$15,"")&amp;IF('Tabelle 12'!$C$16=AB12,'Tabelle 12'!$R$16,"")</f>
        <v> </v>
      </c>
      <c r="AR12" s="86">
        <v>8</v>
      </c>
      <c r="AS12" s="3">
        <f>'Tabelle 12'!N12</f>
        <v>0.05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2:75" ht="24.75" customHeight="1">
      <c r="B13" s="10">
        <v>9</v>
      </c>
      <c r="C13" s="25" t="str">
        <f t="shared" si="0"/>
        <v>Spieler 9</v>
      </c>
      <c r="D13" s="66" t="str">
        <f t="shared" si="1"/>
        <v> </v>
      </c>
      <c r="E13" s="66" t="str">
        <f t="shared" si="2"/>
        <v> </v>
      </c>
      <c r="F13" s="66" t="str">
        <f t="shared" si="3"/>
        <v> </v>
      </c>
      <c r="G13" s="66" t="str">
        <f t="shared" si="4"/>
        <v> </v>
      </c>
      <c r="H13" s="66" t="str">
        <f t="shared" si="5"/>
        <v> </v>
      </c>
      <c r="I13" s="66" t="str">
        <f t="shared" si="6"/>
        <v> </v>
      </c>
      <c r="J13" s="66" t="str">
        <f t="shared" si="7"/>
        <v> </v>
      </c>
      <c r="K13" s="66" t="str">
        <f t="shared" si="8"/>
        <v> </v>
      </c>
      <c r="L13" s="65" t="str">
        <f t="shared" si="9"/>
        <v> </v>
      </c>
      <c r="M13" s="66" t="str">
        <f t="shared" si="10"/>
        <v> </v>
      </c>
      <c r="N13" s="66" t="str">
        <f t="shared" si="11"/>
        <v> </v>
      </c>
      <c r="O13" s="29" t="str">
        <f t="shared" si="12"/>
        <v> </v>
      </c>
      <c r="P13" s="72" t="str">
        <f t="shared" si="13"/>
        <v> </v>
      </c>
      <c r="Q13" s="56">
        <f t="shared" si="14"/>
      </c>
      <c r="R13" s="58" t="str">
        <f t="shared" si="15"/>
        <v> </v>
      </c>
      <c r="S13" s="2"/>
      <c r="T13" s="2"/>
      <c r="U13" s="2"/>
      <c r="V13" s="2"/>
      <c r="W13" s="2"/>
      <c r="X13" s="2"/>
      <c r="Y13" s="2"/>
      <c r="Z13" s="2">
        <f t="shared" si="18"/>
        <v>9</v>
      </c>
      <c r="AA13" s="10">
        <v>9</v>
      </c>
      <c r="AB13" s="25" t="str">
        <f>Eingabe!$C$14</f>
        <v>Spieler 9</v>
      </c>
      <c r="AC13" s="66" t="str">
        <f>'12 Spieler'!$Q$36</f>
        <v> </v>
      </c>
      <c r="AD13" s="66" t="str">
        <f>'12 Spieler'!$O$14</f>
        <v> </v>
      </c>
      <c r="AE13" s="66" t="str">
        <f>'12 Spieler'!$I$35</f>
        <v> </v>
      </c>
      <c r="AF13" s="66" t="str">
        <f>'12 Spieler'!$G$15</f>
        <v> </v>
      </c>
      <c r="AG13" s="66" t="str">
        <f>'12 Spieler'!$Y$24</f>
        <v> </v>
      </c>
      <c r="AH13" s="66" t="str">
        <f>'12 Spieler'!$O$46</f>
        <v> </v>
      </c>
      <c r="AI13" s="66" t="str">
        <f>'12 Spieler'!$Q$23</f>
        <v> </v>
      </c>
      <c r="AJ13" s="66" t="str">
        <f>'12 Spieler'!$G$47</f>
        <v> </v>
      </c>
      <c r="AK13" s="65" t="s">
        <v>18</v>
      </c>
      <c r="AL13" s="66" t="str">
        <f>'12 Spieler'!$Y$37</f>
        <v> </v>
      </c>
      <c r="AM13" s="66" t="str">
        <f>'12 Spieler'!$W$13</f>
        <v> </v>
      </c>
      <c r="AN13" s="29" t="str">
        <f>'12 Spieler'!$G$22</f>
        <v> </v>
      </c>
      <c r="AO13" s="72" t="str">
        <f t="shared" si="16"/>
        <v> </v>
      </c>
      <c r="AP13" s="56">
        <f t="shared" si="17"/>
      </c>
      <c r="AQ13" s="58" t="str">
        <f>IF('Tabelle 12'!$C$5=AB13,'Tabelle 12'!$R$5,"")&amp;IF('Tabelle 12'!$C$6=AB13,'Tabelle 12'!$R$6,"")&amp;IF('Tabelle 12'!$C$7=AB13,'Tabelle 12'!$R$7,"")&amp;IF('Tabelle 12'!$C$8=AB13,'Tabelle 12'!$R$8,"")&amp;IF('Tabelle 12'!$C$9=AB13,'Tabelle 12'!$R$9,"")&amp;IF('Tabelle 12'!$C$10=AB13,'Tabelle 12'!$R$10,"")&amp;IF('Tabelle 12'!$C$11=AB13,'Tabelle 12'!$R$11,"")&amp;IF('Tabelle 12'!$C$12=AB13,'Tabelle 12'!$R$12,"")&amp;IF('Tabelle 12'!$C$13=AB13,'Tabelle 12'!$R$13,"")&amp;IF('Tabelle 12'!$C$14=AB13,'Tabelle 12'!$R$14,"")&amp;IF('Tabelle 12'!$C$15=AB13,'Tabelle 12'!$R$15,"")&amp;IF('Tabelle 12'!$C$16=AB13,'Tabelle 12'!$R$16,"")</f>
        <v> </v>
      </c>
      <c r="AR13" s="86">
        <v>9</v>
      </c>
      <c r="AS13" s="3">
        <f>'Tabelle 12'!N13</f>
        <v>0.04</v>
      </c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2:75" ht="24.75" customHeight="1">
      <c r="B14" s="10">
        <v>10</v>
      </c>
      <c r="C14" s="25" t="str">
        <f t="shared" si="0"/>
        <v>Spieler 10</v>
      </c>
      <c r="D14" s="66" t="str">
        <f t="shared" si="1"/>
        <v> </v>
      </c>
      <c r="E14" s="66" t="str">
        <f t="shared" si="2"/>
        <v> </v>
      </c>
      <c r="F14" s="66" t="str">
        <f t="shared" si="3"/>
        <v> </v>
      </c>
      <c r="G14" s="66" t="str">
        <f t="shared" si="4"/>
        <v> </v>
      </c>
      <c r="H14" s="66" t="str">
        <f t="shared" si="5"/>
        <v> </v>
      </c>
      <c r="I14" s="66" t="str">
        <f t="shared" si="6"/>
        <v> </v>
      </c>
      <c r="J14" s="66" t="str">
        <f t="shared" si="7"/>
        <v> </v>
      </c>
      <c r="K14" s="66" t="str">
        <f t="shared" si="8"/>
        <v> </v>
      </c>
      <c r="L14" s="66" t="str">
        <f t="shared" si="9"/>
        <v> </v>
      </c>
      <c r="M14" s="65" t="str">
        <f t="shared" si="10"/>
        <v> </v>
      </c>
      <c r="N14" s="66" t="str">
        <f t="shared" si="11"/>
        <v> </v>
      </c>
      <c r="O14" s="29" t="str">
        <f t="shared" si="12"/>
        <v> </v>
      </c>
      <c r="P14" s="72" t="str">
        <f t="shared" si="13"/>
        <v> </v>
      </c>
      <c r="Q14" s="56">
        <f t="shared" si="14"/>
      </c>
      <c r="R14" s="58" t="str">
        <f t="shared" si="15"/>
        <v> </v>
      </c>
      <c r="S14" s="2"/>
      <c r="T14" s="2"/>
      <c r="U14" s="2"/>
      <c r="V14" s="2"/>
      <c r="W14" s="2"/>
      <c r="X14" s="2"/>
      <c r="Y14" s="2"/>
      <c r="Z14" s="2">
        <f t="shared" si="18"/>
        <v>10</v>
      </c>
      <c r="AA14" s="10">
        <v>10</v>
      </c>
      <c r="AB14" s="25" t="str">
        <f>Eingabe!$C$15</f>
        <v>Spieler 10</v>
      </c>
      <c r="AC14" s="66" t="str">
        <f>'12 Spieler'!$O$13</f>
        <v> </v>
      </c>
      <c r="AD14" s="66" t="str">
        <f>'12 Spieler'!$I$36</f>
        <v> </v>
      </c>
      <c r="AE14" s="66" t="str">
        <f>'12 Spieler'!$G$14</f>
        <v> </v>
      </c>
      <c r="AF14" s="66" t="str">
        <f>'12 Spieler'!$Y$25</f>
        <v> </v>
      </c>
      <c r="AG14" s="66" t="str">
        <f>'12 Spieler'!$O$45</f>
        <v> </v>
      </c>
      <c r="AH14" s="66" t="str">
        <f>'12 Spieler'!$Q$24</f>
        <v> </v>
      </c>
      <c r="AI14" s="66" t="str">
        <f>'12 Spieler'!$G$46</f>
        <v> </v>
      </c>
      <c r="AJ14" s="66" t="str">
        <f>'12 Spieler'!$I$23</f>
        <v> </v>
      </c>
      <c r="AK14" s="66" t="str">
        <f>'12 Spieler'!$W$37</f>
        <v> </v>
      </c>
      <c r="AL14" s="65" t="s">
        <v>18</v>
      </c>
      <c r="AM14" s="66" t="str">
        <f>'12 Spieler'!$Q$37</f>
        <v> </v>
      </c>
      <c r="AN14" s="29" t="str">
        <f>'12 Spieler'!$W$12</f>
        <v> </v>
      </c>
      <c r="AO14" s="72" t="str">
        <f t="shared" si="16"/>
        <v> </v>
      </c>
      <c r="AP14" s="56">
        <f t="shared" si="17"/>
      </c>
      <c r="AQ14" s="58" t="str">
        <f>IF('Tabelle 12'!$C$5=AB14,'Tabelle 12'!$R$5,"")&amp;IF('Tabelle 12'!$C$6=AB14,'Tabelle 12'!$R$6,"")&amp;IF('Tabelle 12'!$C$7=AB14,'Tabelle 12'!$R$7,"")&amp;IF('Tabelle 12'!$C$8=AB14,'Tabelle 12'!$R$8,"")&amp;IF('Tabelle 12'!$C$9=AB14,'Tabelle 12'!$R$9,"")&amp;IF('Tabelle 12'!$C$10=AB14,'Tabelle 12'!$R$10,"")&amp;IF('Tabelle 12'!$C$11=AB14,'Tabelle 12'!$R$11,"")&amp;IF('Tabelle 12'!$C$12=AB14,'Tabelle 12'!$R$12,"")&amp;IF('Tabelle 12'!$C$13=AB14,'Tabelle 12'!$R$13,"")&amp;IF('Tabelle 12'!$C$14=AB14,'Tabelle 12'!$R$14,"")&amp;IF('Tabelle 12'!$C$15=AB14,'Tabelle 12'!$R$15,"")&amp;IF('Tabelle 12'!$C$16=AB14,'Tabelle 12'!$R$16,"")</f>
        <v> </v>
      </c>
      <c r="AR14" s="86">
        <v>10</v>
      </c>
      <c r="AS14" s="3">
        <f>'Tabelle 12'!N14</f>
        <v>0.03</v>
      </c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2:75" ht="24.75" customHeight="1">
      <c r="B15" s="10">
        <v>11</v>
      </c>
      <c r="C15" s="34" t="str">
        <f t="shared" si="0"/>
        <v>Spieler 11</v>
      </c>
      <c r="D15" s="66" t="str">
        <f t="shared" si="1"/>
        <v> </v>
      </c>
      <c r="E15" s="66" t="str">
        <f t="shared" si="2"/>
        <v> </v>
      </c>
      <c r="F15" s="66" t="str">
        <f t="shared" si="3"/>
        <v> </v>
      </c>
      <c r="G15" s="66" t="str">
        <f t="shared" si="4"/>
        <v> </v>
      </c>
      <c r="H15" s="66" t="str">
        <f t="shared" si="5"/>
        <v> </v>
      </c>
      <c r="I15" s="66" t="str">
        <f t="shared" si="6"/>
        <v> </v>
      </c>
      <c r="J15" s="66" t="str">
        <f t="shared" si="7"/>
        <v> </v>
      </c>
      <c r="K15" s="66" t="str">
        <f t="shared" si="8"/>
        <v> </v>
      </c>
      <c r="L15" s="66" t="str">
        <f t="shared" si="9"/>
        <v> </v>
      </c>
      <c r="M15" s="66" t="str">
        <f t="shared" si="10"/>
        <v> </v>
      </c>
      <c r="N15" s="65" t="str">
        <f t="shared" si="11"/>
        <v> </v>
      </c>
      <c r="O15" s="29" t="str">
        <f t="shared" si="12"/>
        <v> </v>
      </c>
      <c r="P15" s="72" t="str">
        <f t="shared" si="13"/>
        <v> </v>
      </c>
      <c r="Q15" s="56">
        <f t="shared" si="14"/>
      </c>
      <c r="R15" s="58" t="str">
        <f t="shared" si="15"/>
        <v> </v>
      </c>
      <c r="S15" s="2"/>
      <c r="T15" s="2"/>
      <c r="U15" s="2"/>
      <c r="V15" s="2"/>
      <c r="W15" s="2"/>
      <c r="X15" s="2"/>
      <c r="Y15" s="2"/>
      <c r="Z15" s="2">
        <f t="shared" si="18"/>
        <v>11</v>
      </c>
      <c r="AA15" s="10">
        <v>11</v>
      </c>
      <c r="AB15" s="34" t="str">
        <f>Eingabe!$G$6</f>
        <v>Spieler 11</v>
      </c>
      <c r="AC15" s="66" t="str">
        <f>'12 Spieler'!$I$37</f>
        <v> </v>
      </c>
      <c r="AD15" s="66" t="str">
        <f>'12 Spieler'!$G$13</f>
        <v> </v>
      </c>
      <c r="AE15" s="66" t="str">
        <f>'12 Spieler'!$Y$26</f>
        <v> </v>
      </c>
      <c r="AF15" s="66" t="str">
        <f>'12 Spieler'!$O$44</f>
        <v> </v>
      </c>
      <c r="AG15" s="66" t="str">
        <f>'12 Spieler'!$Q$25</f>
        <v> </v>
      </c>
      <c r="AH15" s="66" t="str">
        <f>'12 Spieler'!$G$45</f>
        <v> </v>
      </c>
      <c r="AI15" s="66" t="str">
        <f>'12 Spieler'!$I$24</f>
        <v> </v>
      </c>
      <c r="AJ15" s="66" t="str">
        <f>'12 Spieler'!$W$36</f>
        <v> </v>
      </c>
      <c r="AK15" s="66" t="str">
        <f>'12 Spieler'!$Y$13</f>
        <v> </v>
      </c>
      <c r="AL15" s="66" t="str">
        <f>'12 Spieler'!$O$37</f>
        <v> </v>
      </c>
      <c r="AM15" s="65" t="s">
        <v>18</v>
      </c>
      <c r="AN15" s="29" t="str">
        <f>'12 Spieler'!$O$12</f>
        <v> </v>
      </c>
      <c r="AO15" s="72" t="str">
        <f t="shared" si="16"/>
        <v> </v>
      </c>
      <c r="AP15" s="56">
        <f t="shared" si="17"/>
      </c>
      <c r="AQ15" s="58" t="str">
        <f>IF('Tabelle 12'!$C$5=AB15,'Tabelle 12'!$R$5,"")&amp;IF('Tabelle 12'!$C$6=AB15,'Tabelle 12'!$R$6,"")&amp;IF('Tabelle 12'!$C$7=AB15,'Tabelle 12'!$R$7,"")&amp;IF('Tabelle 12'!$C$8=AB15,'Tabelle 12'!$R$8,"")&amp;IF('Tabelle 12'!$C$9=AB15,'Tabelle 12'!$R$9,"")&amp;IF('Tabelle 12'!$C$10=AB15,'Tabelle 12'!$R$10,"")&amp;IF('Tabelle 12'!$C$11=AB15,'Tabelle 12'!$R$11,"")&amp;IF('Tabelle 12'!$C$12=AB15,'Tabelle 12'!$R$12,"")&amp;IF('Tabelle 12'!$C$13=AB15,'Tabelle 12'!$R$13,"")&amp;IF('Tabelle 12'!$C$14=AB15,'Tabelle 12'!$R$14,"")&amp;IF('Tabelle 12'!$C$15=AB15,'Tabelle 12'!$R$15,"")&amp;IF('Tabelle 12'!$C$16=AB15,'Tabelle 12'!$R$16,"")</f>
        <v> </v>
      </c>
      <c r="AR15" s="86">
        <v>11</v>
      </c>
      <c r="AS15" s="3">
        <f>'Tabelle 12'!N15</f>
        <v>0.02</v>
      </c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2:75" ht="24.75" customHeight="1" thickBot="1">
      <c r="B16" s="24">
        <v>12</v>
      </c>
      <c r="C16" s="26" t="str">
        <f t="shared" si="0"/>
        <v>Spieler 12 / spielfrei</v>
      </c>
      <c r="D16" s="67" t="str">
        <f t="shared" si="1"/>
        <v> </v>
      </c>
      <c r="E16" s="67" t="str">
        <f t="shared" si="2"/>
        <v> </v>
      </c>
      <c r="F16" s="67" t="str">
        <f t="shared" si="3"/>
        <v> </v>
      </c>
      <c r="G16" s="67" t="str">
        <f t="shared" si="4"/>
        <v> </v>
      </c>
      <c r="H16" s="67" t="str">
        <f t="shared" si="5"/>
        <v> </v>
      </c>
      <c r="I16" s="67" t="str">
        <f t="shared" si="6"/>
        <v> </v>
      </c>
      <c r="J16" s="67" t="str">
        <f t="shared" si="7"/>
        <v> </v>
      </c>
      <c r="K16" s="67" t="str">
        <f t="shared" si="8"/>
        <v> </v>
      </c>
      <c r="L16" s="67" t="str">
        <f t="shared" si="9"/>
        <v> </v>
      </c>
      <c r="M16" s="67" t="str">
        <f t="shared" si="10"/>
        <v> </v>
      </c>
      <c r="N16" s="67" t="str">
        <f t="shared" si="11"/>
        <v> </v>
      </c>
      <c r="O16" s="68" t="str">
        <f t="shared" si="12"/>
        <v> </v>
      </c>
      <c r="P16" s="73" t="str">
        <f t="shared" si="13"/>
        <v> </v>
      </c>
      <c r="Q16" s="57">
        <f t="shared" si="14"/>
      </c>
      <c r="R16" s="59" t="str">
        <f t="shared" si="15"/>
        <v> </v>
      </c>
      <c r="S16" s="2"/>
      <c r="T16" s="2"/>
      <c r="U16" s="2"/>
      <c r="V16" s="2"/>
      <c r="W16" s="2"/>
      <c r="X16" s="2"/>
      <c r="Y16" s="2"/>
      <c r="Z16" s="2">
        <f t="shared" si="18"/>
        <v>12</v>
      </c>
      <c r="AA16" s="24">
        <v>12</v>
      </c>
      <c r="AB16" s="26" t="str">
        <f>Eingabe!$G$7</f>
        <v>Spieler 12 / spielfrei</v>
      </c>
      <c r="AC16" s="67" t="str">
        <f>'12 Spieler'!$I$12</f>
        <v> </v>
      </c>
      <c r="AD16" s="67" t="str">
        <f>'12 Spieler'!$Q$42</f>
        <v> </v>
      </c>
      <c r="AE16" s="67" t="str">
        <f>'12 Spieler'!$I$42</f>
        <v> </v>
      </c>
      <c r="AF16" s="67" t="str">
        <f>'12 Spieler'!$Y$32</f>
        <v> </v>
      </c>
      <c r="AG16" s="67" t="str">
        <f>'12 Spieler'!$Q$32</f>
        <v> </v>
      </c>
      <c r="AH16" s="67" t="str">
        <f>'12 Spieler'!$I$32</f>
        <v> </v>
      </c>
      <c r="AI16" s="67" t="str">
        <f>'12 Spieler'!$Y$22</f>
        <v> </v>
      </c>
      <c r="AJ16" s="67" t="str">
        <f>'12 Spieler'!$Q$22</f>
        <v> </v>
      </c>
      <c r="AK16" s="67" t="str">
        <f>'12 Spieler'!$I$22</f>
        <v> </v>
      </c>
      <c r="AL16" s="67" t="str">
        <f>'12 Spieler'!$Y$12</f>
        <v> </v>
      </c>
      <c r="AM16" s="67" t="str">
        <f>'12 Spieler'!$Q$12</f>
        <v> </v>
      </c>
      <c r="AN16" s="68" t="s">
        <v>18</v>
      </c>
      <c r="AO16" s="73" t="str">
        <f t="shared" si="16"/>
        <v> </v>
      </c>
      <c r="AP16" s="57">
        <f t="shared" si="17"/>
      </c>
      <c r="AQ16" s="59" t="str">
        <f>IF('Tabelle 12'!$C$5=AB16,'Tabelle 12'!$R$5,"")&amp;IF('Tabelle 12'!$C$6=AB16,'Tabelle 12'!$R$6,"")&amp;IF('Tabelle 12'!$C$7=AB16,'Tabelle 12'!$R$7,"")&amp;IF('Tabelle 12'!$C$8=AB16,'Tabelle 12'!$R$8,"")&amp;IF('Tabelle 12'!$C$9=AB16,'Tabelle 12'!$R$9,"")&amp;IF('Tabelle 12'!$C$10=AB16,'Tabelle 12'!$R$10,"")&amp;IF('Tabelle 12'!$C$11=AB16,'Tabelle 12'!$R$11,"")&amp;IF('Tabelle 12'!$C$12=AB16,'Tabelle 12'!$R$12,"")&amp;IF('Tabelle 12'!$C$13=AB16,'Tabelle 12'!$R$13,"")&amp;IF('Tabelle 12'!$C$14=AB16,'Tabelle 12'!$R$14,"")&amp;IF('Tabelle 12'!$C$15=AB16,'Tabelle 12'!$R$15,"")&amp;IF('Tabelle 12'!$C$16=AB16,'Tabelle 12'!$R$16,"")</f>
        <v> </v>
      </c>
      <c r="AR16" s="86">
        <v>12</v>
      </c>
      <c r="AS16" s="3">
        <f>'Tabelle 12'!N16</f>
        <v>0.01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9:75" ht="12.75">
      <c r="S17" s="2"/>
      <c r="T17" s="2"/>
      <c r="U17" s="2"/>
      <c r="V17" s="2"/>
      <c r="W17" s="2"/>
      <c r="X17" s="2"/>
      <c r="Y17" s="2"/>
      <c r="Z17" s="2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9:75" ht="12.75">
      <c r="S18" s="2"/>
      <c r="T18" s="2"/>
      <c r="U18" s="2"/>
      <c r="V18" s="2"/>
      <c r="W18" s="2"/>
      <c r="X18" s="2"/>
      <c r="Y18" s="2"/>
      <c r="Z18" s="2"/>
      <c r="AA18" s="3"/>
      <c r="AB18" s="2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9:75" ht="12.75">
      <c r="S19" s="2"/>
      <c r="T19" s="2"/>
      <c r="U19" s="2"/>
      <c r="V19" s="2"/>
      <c r="W19" s="2"/>
      <c r="X19" s="2"/>
      <c r="Y19" s="2"/>
      <c r="Z19" s="2"/>
      <c r="AA19" s="3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2:43" ht="24.75" customHeight="1">
      <c r="B20" s="76" t="str">
        <f>Eingabe!$G$3</f>
        <v>z. B. Monatsblitzturnier</v>
      </c>
      <c r="C20" s="12"/>
      <c r="D20" s="16"/>
      <c r="E20" s="16"/>
      <c r="F20" s="12"/>
      <c r="G20" s="31"/>
      <c r="H20" s="16"/>
      <c r="I20" s="16"/>
      <c r="J20" s="16"/>
      <c r="K20" s="16"/>
      <c r="L20" s="16"/>
      <c r="M20" s="16"/>
      <c r="N20" s="16"/>
      <c r="O20" s="16"/>
      <c r="Q20" s="32" t="s">
        <v>14</v>
      </c>
      <c r="R20" s="33" t="str">
        <f>Eingabe!G2</f>
        <v>??.??.????</v>
      </c>
      <c r="AA20" s="76"/>
      <c r="AB20" s="12"/>
      <c r="AC20" s="16"/>
      <c r="AD20" s="16"/>
      <c r="AE20" s="12"/>
      <c r="AF20" s="31"/>
      <c r="AG20" s="16"/>
      <c r="AH20" s="16"/>
      <c r="AI20" s="16"/>
      <c r="AJ20" s="16"/>
      <c r="AK20" s="16"/>
      <c r="AL20" s="16"/>
      <c r="AM20" s="16"/>
      <c r="AN20" s="16"/>
      <c r="AP20" s="32"/>
      <c r="AQ20" s="33"/>
    </row>
    <row r="21" spans="2:43" s="18" customFormat="1" ht="18.75" thickBot="1">
      <c r="B21" s="19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AA21" s="19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75" s="8" customFormat="1" ht="24.75" customHeight="1" thickBot="1">
      <c r="A22" s="6"/>
      <c r="B22" s="20" t="s">
        <v>27</v>
      </c>
      <c r="C22" s="21" t="s">
        <v>28</v>
      </c>
      <c r="D22" s="23">
        <v>1</v>
      </c>
      <c r="E22" s="23">
        <v>2</v>
      </c>
      <c r="F22" s="23">
        <v>3</v>
      </c>
      <c r="G22" s="23">
        <v>4</v>
      </c>
      <c r="H22" s="23">
        <v>5</v>
      </c>
      <c r="I22" s="23">
        <v>6</v>
      </c>
      <c r="J22" s="23">
        <v>7</v>
      </c>
      <c r="K22" s="23">
        <v>8</v>
      </c>
      <c r="L22" s="23">
        <v>9</v>
      </c>
      <c r="M22" s="23">
        <v>10</v>
      </c>
      <c r="N22" s="23">
        <v>11</v>
      </c>
      <c r="O22" s="27">
        <v>12</v>
      </c>
      <c r="P22" s="21" t="s">
        <v>29</v>
      </c>
      <c r="Q22" s="51" t="s">
        <v>30</v>
      </c>
      <c r="R22" s="22" t="s">
        <v>31</v>
      </c>
      <c r="S22" s="9"/>
      <c r="T22" s="9"/>
      <c r="U22" s="9"/>
      <c r="V22" s="9"/>
      <c r="W22" s="9"/>
      <c r="X22" s="9"/>
      <c r="Y22" s="9"/>
      <c r="Z22" s="9"/>
      <c r="AA22" s="28"/>
      <c r="AB22" s="2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28"/>
      <c r="AP22" s="89"/>
      <c r="AQ22" s="28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2:75" ht="24.75" customHeight="1">
      <c r="B23" s="10">
        <v>1</v>
      </c>
      <c r="C23" s="25" t="str">
        <f>Eingabe!$C$6</f>
        <v>Spieler 1</v>
      </c>
      <c r="D23" s="65" t="s">
        <v>18</v>
      </c>
      <c r="E23" s="66" t="str">
        <f>'12 Spieler'!$Y$27</f>
        <v> </v>
      </c>
      <c r="F23" s="66" t="str">
        <f>'12 Spieler'!$O$43</f>
        <v> </v>
      </c>
      <c r="G23" s="66" t="str">
        <f>'12 Spieler'!$Q$26</f>
        <v> </v>
      </c>
      <c r="H23" s="66" t="str">
        <f>'12 Spieler'!$G$44</f>
        <v> </v>
      </c>
      <c r="I23" s="66" t="str">
        <f>'12 Spieler'!$I$25</f>
        <v> </v>
      </c>
      <c r="J23" s="66" t="str">
        <f>'12 Spieler'!$W$35</f>
        <v> </v>
      </c>
      <c r="K23" s="66" t="str">
        <f>'12 Spieler'!$Y$14</f>
        <v> </v>
      </c>
      <c r="L23" s="66" t="str">
        <f>'12 Spieler'!$O$36</f>
        <v> </v>
      </c>
      <c r="M23" s="66" t="str">
        <f>'12 Spieler'!$Q$13</f>
        <v> </v>
      </c>
      <c r="N23" s="66" t="str">
        <f>'12 Spieler'!$G$37</f>
        <v> </v>
      </c>
      <c r="O23" s="29" t="str">
        <f>'12 Spieler'!$G$12</f>
        <v> </v>
      </c>
      <c r="P23" s="72" t="str">
        <f aca="true" t="shared" si="19" ref="P23:P33">IF(COUNT($O$23,$N$24,$M$25,$L$26,$K$27,$J$28,$I$29,$H$30,$G$31,$F$32,$E$33,$D$34)&gt;0,SUM(D23:O23)," ")</f>
        <v> </v>
      </c>
      <c r="Q23" s="56">
        <f aca="true" t="shared" si="20" ref="Q23:Q34">IF(COUNT($O$23,$N$24,$M$25,$L$26,$K$27,$J$28,$I$29,$H$30,$G$31,$F$32,$E$33,$D$34)&gt;0,IF(OR(D23=1,D23=0.5),D23*$P$23,0)+IF(OR(E23=1,E23=0.5),E23*$P$24,0)+IF(OR(F23=1,F23=0.5),F23*$P$25,0)+IF(OR(G23=1,G23=0.5),G23*$P$26,0)+IF(OR(H23=1,H23=0.5),H23*$P$27,0)+IF(OR(I23=1,I23=0.5),I23*$P$28,0)+IF(OR(J23=1,J23=0.5),J23*$P$29,0)+IF(OR(K23=1,K23=0.5),K23*$P$30,0)+IF(OR(L23=1,L23=0.5),L23*$P$31,0)+IF(OR(M23=1,M23=0.5),M23*$P$32,0)+IF(OR(N23=1,N23=0.5),N23*$P$33,0)+IF(OR(O23=1,O23=0.5),O23*$P$34,0),"")</f>
      </c>
      <c r="R23" s="58" t="str">
        <f>IF('Tabelle 12'!$C$5=C23,'Tabelle 12'!$R$5,"")&amp;IF('Tabelle 12'!$C$6=C23,'Tabelle 12'!$R$6,"")&amp;IF('Tabelle 12'!$C$7=C23,'Tabelle 12'!$R$7,"")&amp;IF('Tabelle 12'!$C$8=C23,'Tabelle 12'!$R$8,"")&amp;IF('Tabelle 12'!$C$9=C23,'Tabelle 12'!$R$9,"")&amp;IF('Tabelle 12'!$C$10=C23,'Tabelle 12'!$R$10,"")&amp;IF('Tabelle 12'!$C$11=C23,'Tabelle 12'!$R$11,"")&amp;IF('Tabelle 12'!$C$12=C23,'Tabelle 12'!$R$12,"")&amp;IF('Tabelle 12'!$C$13=C23,'Tabelle 12'!$R$13,"")&amp;IF('Tabelle 12'!$C$14=C23,'Tabelle 12'!$R$14,"")&amp;IF('Tabelle 12'!$C$15=C23,'Tabelle 12'!$R$15,"")&amp;IF('Tabelle 12'!$C$16=C23,'Tabelle 12'!$R$16,"")</f>
        <v> </v>
      </c>
      <c r="S23" s="2"/>
      <c r="T23" s="2"/>
      <c r="U23" s="2"/>
      <c r="V23" s="2"/>
      <c r="W23" s="2"/>
      <c r="X23" s="2"/>
      <c r="Y23" s="2"/>
      <c r="Z23" s="2"/>
      <c r="AA23" s="90">
        <f>VLOOKUP($AR5,$Z$5:$AQ$16,2,FALSE)</f>
        <v>1</v>
      </c>
      <c r="AB23" s="91" t="str">
        <f>VLOOKUP($AR5,$Z$5:$AQ$16,3,FALSE)</f>
        <v>Spieler 1</v>
      </c>
      <c r="AC23" s="94" t="str">
        <f>VLOOKUP($AR5,$Z$5:$AQ$16,4,FALSE)</f>
        <v> </v>
      </c>
      <c r="AD23" s="94" t="str">
        <f>VLOOKUP($AR5,$Z$5:$AQ$16,5,FALSE)</f>
        <v> </v>
      </c>
      <c r="AE23" s="94" t="str">
        <f>VLOOKUP($AR5,$Z$5:$AQ$16,6,FALSE)</f>
        <v> </v>
      </c>
      <c r="AF23" s="94" t="str">
        <f>VLOOKUP($AR5,$Z$5:$AQ$16,7,FALSE)</f>
        <v> </v>
      </c>
      <c r="AG23" s="94" t="str">
        <f>VLOOKUP($AR5,$Z$5:$AQ$16,8,FALSE)</f>
        <v> </v>
      </c>
      <c r="AH23" s="94" t="str">
        <f>VLOOKUP($AR5,$Z$5:$AQ$16,9,FALSE)</f>
        <v> </v>
      </c>
      <c r="AI23" s="94" t="str">
        <f>VLOOKUP($AR5,$Z$5:$AQ$16,10,FALSE)</f>
        <v> </v>
      </c>
      <c r="AJ23" s="94" t="str">
        <f>VLOOKUP($AR5,$Z$5:$AQ$16,11,FALSE)</f>
        <v> </v>
      </c>
      <c r="AK23" s="94" t="str">
        <f>VLOOKUP($AR5,$Z$5:$AQ$16,12,FALSE)</f>
        <v> </v>
      </c>
      <c r="AL23" s="94" t="str">
        <f>VLOOKUP($AR5,$Z$5:$AQ$16,13,FALSE)</f>
        <v> </v>
      </c>
      <c r="AM23" s="94" t="str">
        <f>VLOOKUP($AR5,$Z$5:$AQ$16,14,FALSE)</f>
        <v> </v>
      </c>
      <c r="AN23" s="95" t="str">
        <f>VLOOKUP($AR5,$Z$5:$AQ$16,15,FALSE)</f>
        <v> </v>
      </c>
      <c r="AO23" s="92" t="str">
        <f>VLOOKUP($AR5,$Z$5:$AQ$16,16,FALSE)</f>
        <v> </v>
      </c>
      <c r="AP23" s="93">
        <f>VLOOKUP($AR5,$Z$5:$AQ$16,17,FALSE)</f>
      </c>
      <c r="AQ23" s="27" t="str">
        <f>VLOOKUP($AR5,$Z$5:$AQ$16,18,FALSE)</f>
        <v> </v>
      </c>
      <c r="AR23" s="85">
        <v>5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2:75" ht="24.75" customHeight="1">
      <c r="B24" s="10">
        <v>2</v>
      </c>
      <c r="C24" s="25" t="str">
        <f>Eingabe!$C$7</f>
        <v>Spieler 2</v>
      </c>
      <c r="D24" s="66" t="str">
        <f>'12 Spieler'!$W$27</f>
        <v> </v>
      </c>
      <c r="E24" s="65" t="s">
        <v>18</v>
      </c>
      <c r="F24" s="66" t="str">
        <f>'12 Spieler'!$Q$27</f>
        <v> </v>
      </c>
      <c r="G24" s="66" t="str">
        <f>'12 Spieler'!$G$43</f>
        <v> </v>
      </c>
      <c r="H24" s="66" t="str">
        <f>'12 Spieler'!$I$26</f>
        <v> </v>
      </c>
      <c r="I24" s="66" t="str">
        <f>'12 Spieler'!$W$34</f>
        <v> </v>
      </c>
      <c r="J24" s="66" t="str">
        <f>'12 Spieler'!$Y$15</f>
        <v> </v>
      </c>
      <c r="K24" s="66" t="str">
        <f>'12 Spieler'!$O$35</f>
        <v> </v>
      </c>
      <c r="L24" s="66" t="str">
        <f>'12 Spieler'!$Q$14</f>
        <v> </v>
      </c>
      <c r="M24" s="66" t="str">
        <f>'12 Spieler'!$G$36</f>
        <v> </v>
      </c>
      <c r="N24" s="66" t="str">
        <f>'12 Spieler'!$I$13</f>
        <v> </v>
      </c>
      <c r="O24" s="29" t="str">
        <f>'12 Spieler'!$O$42</f>
        <v> </v>
      </c>
      <c r="P24" s="72" t="str">
        <f t="shared" si="19"/>
        <v> </v>
      </c>
      <c r="Q24" s="56">
        <f t="shared" si="20"/>
      </c>
      <c r="R24" s="58" t="str">
        <f>IF('Tabelle 12'!$C$5=C24,'Tabelle 12'!$R$5,"")&amp;IF('Tabelle 12'!$C$6=C24,'Tabelle 12'!$R$6,"")&amp;IF('Tabelle 12'!$C$7=C24,'Tabelle 12'!$R$7,"")&amp;IF('Tabelle 12'!$C$8=C24,'Tabelle 12'!$R$8,"")&amp;IF('Tabelle 12'!$C$9=C24,'Tabelle 12'!$R$9,"")&amp;IF('Tabelle 12'!$C$10=C24,'Tabelle 12'!$R$10,"")&amp;IF('Tabelle 12'!$C$11=C24,'Tabelle 12'!$R$11,"")&amp;IF('Tabelle 12'!$C$12=C24,'Tabelle 12'!$R$12,"")&amp;IF('Tabelle 12'!$C$13=C24,'Tabelle 12'!$R$13,"")&amp;IF('Tabelle 12'!$C$14=C24,'Tabelle 12'!$R$14,"")&amp;IF('Tabelle 12'!$C$15=C24,'Tabelle 12'!$R$15,"")&amp;IF('Tabelle 12'!$C$16=C24,'Tabelle 12'!$R$16,"")</f>
        <v> </v>
      </c>
      <c r="S24" s="2"/>
      <c r="T24" s="2"/>
      <c r="U24" s="2"/>
      <c r="V24" s="2"/>
      <c r="W24" s="2"/>
      <c r="X24" s="2"/>
      <c r="Y24" s="2"/>
      <c r="Z24" s="2"/>
      <c r="AA24" s="10">
        <f aca="true" t="shared" si="21" ref="AA24:AA34">VLOOKUP($AR6,$Z$5:$AQ$16,2,FALSE)</f>
        <v>2</v>
      </c>
      <c r="AB24" s="25" t="str">
        <f aca="true" t="shared" si="22" ref="AB24:AB34">VLOOKUP($AR6,$Z$5:$AQ$16,3,FALSE)</f>
        <v>Spieler 2</v>
      </c>
      <c r="AC24" s="96" t="str">
        <f aca="true" t="shared" si="23" ref="AC24:AC34">VLOOKUP($AR6,$Z$5:$AQ$16,4,FALSE)</f>
        <v> </v>
      </c>
      <c r="AD24" s="96" t="str">
        <f aca="true" t="shared" si="24" ref="AD24:AD34">VLOOKUP($AR6,$Z$5:$AQ$16,5,FALSE)</f>
        <v> </v>
      </c>
      <c r="AE24" s="96" t="str">
        <f aca="true" t="shared" si="25" ref="AE24:AE34">VLOOKUP($AR6,$Z$5:$AQ$16,6,FALSE)</f>
        <v> </v>
      </c>
      <c r="AF24" s="96" t="str">
        <f aca="true" t="shared" si="26" ref="AF24:AF34">VLOOKUP($AR6,$Z$5:$AQ$16,7,FALSE)</f>
        <v> </v>
      </c>
      <c r="AG24" s="96" t="str">
        <f aca="true" t="shared" si="27" ref="AG24:AG34">VLOOKUP($AR6,$Z$5:$AQ$16,8,FALSE)</f>
        <v> </v>
      </c>
      <c r="AH24" s="96" t="str">
        <f aca="true" t="shared" si="28" ref="AH24:AH34">VLOOKUP($AR6,$Z$5:$AQ$16,9,FALSE)</f>
        <v> </v>
      </c>
      <c r="AI24" s="96" t="str">
        <f aca="true" t="shared" si="29" ref="AI24:AI34">VLOOKUP($AR6,$Z$5:$AQ$16,10,FALSE)</f>
        <v> </v>
      </c>
      <c r="AJ24" s="96" t="str">
        <f aca="true" t="shared" si="30" ref="AJ24:AJ34">VLOOKUP($AR6,$Z$5:$AQ$16,11,FALSE)</f>
        <v> </v>
      </c>
      <c r="AK24" s="96" t="str">
        <f aca="true" t="shared" si="31" ref="AK24:AK34">VLOOKUP($AR6,$Z$5:$AQ$16,12,FALSE)</f>
        <v> </v>
      </c>
      <c r="AL24" s="96" t="str">
        <f aca="true" t="shared" si="32" ref="AL24:AL34">VLOOKUP($AR6,$Z$5:$AQ$16,13,FALSE)</f>
        <v> </v>
      </c>
      <c r="AM24" s="96" t="str">
        <f aca="true" t="shared" si="33" ref="AM24:AM34">VLOOKUP($AR6,$Z$5:$AQ$16,14,FALSE)</f>
        <v> </v>
      </c>
      <c r="AN24" s="97" t="str">
        <f aca="true" t="shared" si="34" ref="AN24:AN34">VLOOKUP($AR6,$Z$5:$AQ$16,15,FALSE)</f>
        <v> </v>
      </c>
      <c r="AO24" s="72" t="str">
        <f aca="true" t="shared" si="35" ref="AO24:AO34">VLOOKUP($AR6,$Z$5:$AQ$16,16,FALSE)</f>
        <v> </v>
      </c>
      <c r="AP24" s="56">
        <f aca="true" t="shared" si="36" ref="AP24:AP34">VLOOKUP($AR6,$Z$5:$AQ$16,17,FALSE)</f>
      </c>
      <c r="AQ24" s="58" t="str">
        <f aca="true" t="shared" si="37" ref="AQ24:AQ34">VLOOKUP($AR6,$Z$5:$AQ$16,18,FALSE)</f>
        <v> </v>
      </c>
      <c r="AR24" s="85">
        <v>6</v>
      </c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2:75" ht="24.75" customHeight="1">
      <c r="B25" s="10">
        <v>3</v>
      </c>
      <c r="C25" s="25" t="str">
        <f>Eingabe!$C$8</f>
        <v>Spieler 3</v>
      </c>
      <c r="D25" s="66" t="str">
        <f>'12 Spieler'!$Q$43</f>
        <v> </v>
      </c>
      <c r="E25" s="66" t="str">
        <f>'12 Spieler'!$O$27</f>
        <v> </v>
      </c>
      <c r="F25" s="65" t="s">
        <v>18</v>
      </c>
      <c r="G25" s="66" t="str">
        <f>'12 Spieler'!$I$27</f>
        <v> </v>
      </c>
      <c r="H25" s="66" t="str">
        <f>'12 Spieler'!$W$33</f>
        <v> </v>
      </c>
      <c r="I25" s="66" t="str">
        <f>'12 Spieler'!$Y$16</f>
        <v> </v>
      </c>
      <c r="J25" s="66" t="str">
        <f>'12 Spieler'!$O$34</f>
        <v> </v>
      </c>
      <c r="K25" s="66" t="str">
        <f>'12 Spieler'!$Q$15</f>
        <v> </v>
      </c>
      <c r="L25" s="66" t="str">
        <f>'12 Spieler'!$G$35</f>
        <v> </v>
      </c>
      <c r="M25" s="66" t="str">
        <f>'12 Spieler'!$I$14</f>
        <v> </v>
      </c>
      <c r="N25" s="66" t="str">
        <f>'12 Spieler'!$W$26</f>
        <v> </v>
      </c>
      <c r="O25" s="29" t="str">
        <f>'12 Spieler'!$G$42</f>
        <v> </v>
      </c>
      <c r="P25" s="72" t="str">
        <f t="shared" si="19"/>
        <v> </v>
      </c>
      <c r="Q25" s="56">
        <f t="shared" si="20"/>
      </c>
      <c r="R25" s="58" t="str">
        <f>IF('Tabelle 12'!$C$5=C25,'Tabelle 12'!$R$5,"")&amp;IF('Tabelle 12'!$C$6=C25,'Tabelle 12'!$R$6,"")&amp;IF('Tabelle 12'!$C$7=C25,'Tabelle 12'!$R$7,"")&amp;IF('Tabelle 12'!$C$8=C25,'Tabelle 12'!$R$8,"")&amp;IF('Tabelle 12'!$C$9=C25,'Tabelle 12'!$R$9,"")&amp;IF('Tabelle 12'!$C$10=C25,'Tabelle 12'!$R$10,"")&amp;IF('Tabelle 12'!$C$11=C25,'Tabelle 12'!$R$11,"")&amp;IF('Tabelle 12'!$C$12=C25,'Tabelle 12'!$R$12,"")&amp;IF('Tabelle 12'!$C$13=C25,'Tabelle 12'!$R$13,"")&amp;IF('Tabelle 12'!$C$14=C25,'Tabelle 12'!$R$14,"")&amp;IF('Tabelle 12'!$C$15=C25,'Tabelle 12'!$R$15,"")&amp;IF('Tabelle 12'!$C$16=C25,'Tabelle 12'!$R$16,"")</f>
        <v> </v>
      </c>
      <c r="S25" s="2"/>
      <c r="T25" s="2"/>
      <c r="U25" s="2"/>
      <c r="V25" s="2"/>
      <c r="W25" s="2"/>
      <c r="X25" s="2"/>
      <c r="Y25" s="2"/>
      <c r="Z25" s="2"/>
      <c r="AA25" s="10">
        <f t="shared" si="21"/>
        <v>3</v>
      </c>
      <c r="AB25" s="25" t="str">
        <f t="shared" si="22"/>
        <v>Spieler 3</v>
      </c>
      <c r="AC25" s="96" t="str">
        <f t="shared" si="23"/>
        <v> </v>
      </c>
      <c r="AD25" s="96" t="str">
        <f t="shared" si="24"/>
        <v> </v>
      </c>
      <c r="AE25" s="96" t="str">
        <f t="shared" si="25"/>
        <v> </v>
      </c>
      <c r="AF25" s="96" t="str">
        <f t="shared" si="26"/>
        <v> </v>
      </c>
      <c r="AG25" s="96" t="str">
        <f t="shared" si="27"/>
        <v> </v>
      </c>
      <c r="AH25" s="96" t="str">
        <f t="shared" si="28"/>
        <v> </v>
      </c>
      <c r="AI25" s="96" t="str">
        <f t="shared" si="29"/>
        <v> </v>
      </c>
      <c r="AJ25" s="96" t="str">
        <f t="shared" si="30"/>
        <v> </v>
      </c>
      <c r="AK25" s="96" t="str">
        <f t="shared" si="31"/>
        <v> </v>
      </c>
      <c r="AL25" s="96" t="str">
        <f t="shared" si="32"/>
        <v> </v>
      </c>
      <c r="AM25" s="96" t="str">
        <f t="shared" si="33"/>
        <v> </v>
      </c>
      <c r="AN25" s="97" t="str">
        <f t="shared" si="34"/>
        <v> </v>
      </c>
      <c r="AO25" s="72" t="str">
        <f t="shared" si="35"/>
        <v> </v>
      </c>
      <c r="AP25" s="56">
        <f t="shared" si="36"/>
      </c>
      <c r="AQ25" s="58" t="str">
        <f t="shared" si="37"/>
        <v> </v>
      </c>
      <c r="AR25" s="85">
        <v>7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2:75" ht="24.75" customHeight="1">
      <c r="B26" s="10">
        <v>4</v>
      </c>
      <c r="C26" s="25" t="str">
        <f>Eingabe!$C$9</f>
        <v>Spieler 4</v>
      </c>
      <c r="D26" s="66" t="str">
        <f>'12 Spieler'!$O$26</f>
        <v> </v>
      </c>
      <c r="E26" s="66" t="str">
        <f>'12 Spieler'!$I$43</f>
        <v> </v>
      </c>
      <c r="F26" s="66" t="str">
        <f>'12 Spieler'!$G$27</f>
        <v> </v>
      </c>
      <c r="G26" s="65" t="s">
        <v>18</v>
      </c>
      <c r="H26" s="66" t="str">
        <f>'12 Spieler'!$Y$17</f>
        <v> </v>
      </c>
      <c r="I26" s="66" t="str">
        <f>'12 Spieler'!$O$33</f>
        <v> </v>
      </c>
      <c r="J26" s="66" t="str">
        <f>'12 Spieler'!$Q$16</f>
        <v> </v>
      </c>
      <c r="K26" s="66" t="str">
        <f>'12 Spieler'!$G$34</f>
        <v> </v>
      </c>
      <c r="L26" s="66" t="str">
        <f>'12 Spieler'!$I$15</f>
        <v> </v>
      </c>
      <c r="M26" s="66" t="str">
        <f>'12 Spieler'!$W$25</f>
        <v> </v>
      </c>
      <c r="N26" s="66" t="str">
        <f>'12 Spieler'!$Q$44</f>
        <v> </v>
      </c>
      <c r="O26" s="29" t="str">
        <f>'12 Spieler'!$W$32</f>
        <v> </v>
      </c>
      <c r="P26" s="72" t="str">
        <f t="shared" si="19"/>
        <v> </v>
      </c>
      <c r="Q26" s="56">
        <f t="shared" si="20"/>
      </c>
      <c r="R26" s="58" t="str">
        <f>IF('Tabelle 12'!$C$5=C26,'Tabelle 12'!$R$5,"")&amp;IF('Tabelle 12'!$C$6=C26,'Tabelle 12'!$R$6,"")&amp;IF('Tabelle 12'!$C$7=C26,'Tabelle 12'!$R$7,"")&amp;IF('Tabelle 12'!$C$8=C26,'Tabelle 12'!$R$8,"")&amp;IF('Tabelle 12'!$C$9=C26,'Tabelle 12'!$R$9,"")&amp;IF('Tabelle 12'!$C$10=C26,'Tabelle 12'!$R$10,"")&amp;IF('Tabelle 12'!$C$11=C26,'Tabelle 12'!$R$11,"")&amp;IF('Tabelle 12'!$C$12=C26,'Tabelle 12'!$R$12,"")&amp;IF('Tabelle 12'!$C$13=C26,'Tabelle 12'!$R$13,"")&amp;IF('Tabelle 12'!$C$14=C26,'Tabelle 12'!$R$14,"")&amp;IF('Tabelle 12'!$C$15=C26,'Tabelle 12'!$R$15,"")&amp;IF('Tabelle 12'!$C$16=C26,'Tabelle 12'!$R$16,"")</f>
        <v> </v>
      </c>
      <c r="S26" s="2"/>
      <c r="T26" s="2"/>
      <c r="U26" s="2"/>
      <c r="V26" s="2"/>
      <c r="W26" s="2"/>
      <c r="X26" s="2"/>
      <c r="Y26" s="2"/>
      <c r="Z26" s="2"/>
      <c r="AA26" s="10">
        <f t="shared" si="21"/>
        <v>4</v>
      </c>
      <c r="AB26" s="25" t="str">
        <f t="shared" si="22"/>
        <v>Spieler 4</v>
      </c>
      <c r="AC26" s="96" t="str">
        <f t="shared" si="23"/>
        <v> </v>
      </c>
      <c r="AD26" s="96" t="str">
        <f t="shared" si="24"/>
        <v> </v>
      </c>
      <c r="AE26" s="96" t="str">
        <f t="shared" si="25"/>
        <v> </v>
      </c>
      <c r="AF26" s="96" t="str">
        <f t="shared" si="26"/>
        <v> </v>
      </c>
      <c r="AG26" s="96" t="str">
        <f t="shared" si="27"/>
        <v> </v>
      </c>
      <c r="AH26" s="96" t="str">
        <f t="shared" si="28"/>
        <v> </v>
      </c>
      <c r="AI26" s="96" t="str">
        <f t="shared" si="29"/>
        <v> </v>
      </c>
      <c r="AJ26" s="96" t="str">
        <f t="shared" si="30"/>
        <v> </v>
      </c>
      <c r="AK26" s="96" t="str">
        <f t="shared" si="31"/>
        <v> </v>
      </c>
      <c r="AL26" s="96" t="str">
        <f t="shared" si="32"/>
        <v> </v>
      </c>
      <c r="AM26" s="96" t="str">
        <f t="shared" si="33"/>
        <v> </v>
      </c>
      <c r="AN26" s="97" t="str">
        <f t="shared" si="34"/>
        <v> </v>
      </c>
      <c r="AO26" s="72" t="str">
        <f t="shared" si="35"/>
        <v> </v>
      </c>
      <c r="AP26" s="56">
        <f t="shared" si="36"/>
      </c>
      <c r="AQ26" s="58" t="str">
        <f t="shared" si="37"/>
        <v> </v>
      </c>
      <c r="AR26" s="86">
        <v>8</v>
      </c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2:75" ht="24.75" customHeight="1">
      <c r="B27" s="10">
        <v>5</v>
      </c>
      <c r="C27" s="25" t="str">
        <f>Eingabe!$C$10</f>
        <v>Spieler 5</v>
      </c>
      <c r="D27" s="66" t="str">
        <f>'12 Spieler'!$I$44</f>
        <v> </v>
      </c>
      <c r="E27" s="66" t="str">
        <f>'12 Spieler'!$G$26</f>
        <v> </v>
      </c>
      <c r="F27" s="66" t="str">
        <f>'12 Spieler'!$Y$33</f>
        <v> </v>
      </c>
      <c r="G27" s="66" t="str">
        <f>'12 Spieler'!$W$17</f>
        <v> </v>
      </c>
      <c r="H27" s="65" t="s">
        <v>18</v>
      </c>
      <c r="I27" s="66" t="str">
        <f>'12 Spieler'!$Q$17</f>
        <v> </v>
      </c>
      <c r="J27" s="66" t="str">
        <f>'12 Spieler'!$G$33</f>
        <v> </v>
      </c>
      <c r="K27" s="66" t="str">
        <f>'12 Spieler'!$I$16</f>
        <v> </v>
      </c>
      <c r="L27" s="66" t="str">
        <f>'12 Spieler'!$W$24</f>
        <v> </v>
      </c>
      <c r="M27" s="66" t="str">
        <f>'12 Spieler'!$Q$45</f>
        <v> </v>
      </c>
      <c r="N27" s="66" t="str">
        <f>'12 Spieler'!$O$25</f>
        <v> </v>
      </c>
      <c r="O27" s="29" t="str">
        <f>'12 Spieler'!$O$32</f>
        <v> </v>
      </c>
      <c r="P27" s="72" t="str">
        <f t="shared" si="19"/>
        <v> </v>
      </c>
      <c r="Q27" s="56">
        <f t="shared" si="20"/>
      </c>
      <c r="R27" s="58" t="str">
        <f>IF('Tabelle 12'!$C$5=C27,'Tabelle 12'!$R$5,"")&amp;IF('Tabelle 12'!$C$6=C27,'Tabelle 12'!$R$6,"")&amp;IF('Tabelle 12'!$C$7=C27,'Tabelle 12'!$R$7,"")&amp;IF('Tabelle 12'!$C$8=C27,'Tabelle 12'!$R$8,"")&amp;IF('Tabelle 12'!$C$9=C27,'Tabelle 12'!$R$9,"")&amp;IF('Tabelle 12'!$C$10=C27,'Tabelle 12'!$R$10,"")&amp;IF('Tabelle 12'!$C$11=C27,'Tabelle 12'!$R$11,"")&amp;IF('Tabelle 12'!$C$12=C27,'Tabelle 12'!$R$12,"")&amp;IF('Tabelle 12'!$C$13=C27,'Tabelle 12'!$R$13,"")&amp;IF('Tabelle 12'!$C$14=C27,'Tabelle 12'!$R$14,"")&amp;IF('Tabelle 12'!$C$15=C27,'Tabelle 12'!$R$15,"")&amp;IF('Tabelle 12'!$C$16=C27,'Tabelle 12'!$R$16,"")</f>
        <v> </v>
      </c>
      <c r="S27" s="2"/>
      <c r="T27" s="2"/>
      <c r="U27" s="2"/>
      <c r="V27" s="2"/>
      <c r="W27" s="2"/>
      <c r="X27" s="2"/>
      <c r="Y27" s="2"/>
      <c r="Z27" s="2"/>
      <c r="AA27" s="10">
        <f t="shared" si="21"/>
        <v>5</v>
      </c>
      <c r="AB27" s="25" t="str">
        <f t="shared" si="22"/>
        <v>Spieler 5</v>
      </c>
      <c r="AC27" s="96" t="str">
        <f t="shared" si="23"/>
        <v> </v>
      </c>
      <c r="AD27" s="96" t="str">
        <f t="shared" si="24"/>
        <v> </v>
      </c>
      <c r="AE27" s="96" t="str">
        <f t="shared" si="25"/>
        <v> </v>
      </c>
      <c r="AF27" s="96" t="str">
        <f t="shared" si="26"/>
        <v> </v>
      </c>
      <c r="AG27" s="96" t="str">
        <f t="shared" si="27"/>
        <v> </v>
      </c>
      <c r="AH27" s="96" t="str">
        <f t="shared" si="28"/>
        <v> </v>
      </c>
      <c r="AI27" s="96" t="str">
        <f t="shared" si="29"/>
        <v> </v>
      </c>
      <c r="AJ27" s="96" t="str">
        <f t="shared" si="30"/>
        <v> </v>
      </c>
      <c r="AK27" s="96" t="str">
        <f t="shared" si="31"/>
        <v> </v>
      </c>
      <c r="AL27" s="96" t="str">
        <f t="shared" si="32"/>
        <v> </v>
      </c>
      <c r="AM27" s="96" t="str">
        <f t="shared" si="33"/>
        <v> </v>
      </c>
      <c r="AN27" s="97" t="str">
        <f t="shared" si="34"/>
        <v> </v>
      </c>
      <c r="AO27" s="72" t="str">
        <f t="shared" si="35"/>
        <v> </v>
      </c>
      <c r="AP27" s="56">
        <f t="shared" si="36"/>
      </c>
      <c r="AQ27" s="58" t="str">
        <f t="shared" si="37"/>
        <v> </v>
      </c>
      <c r="AR27" s="86">
        <v>9</v>
      </c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2:75" ht="24.75" customHeight="1">
      <c r="B28" s="10">
        <v>6</v>
      </c>
      <c r="C28" s="25" t="str">
        <f>Eingabe!$C$11</f>
        <v>Spieler 6</v>
      </c>
      <c r="D28" s="66" t="str">
        <f>'12 Spieler'!$G$25</f>
        <v> </v>
      </c>
      <c r="E28" s="66" t="str">
        <f>'12 Spieler'!$Y$34</f>
        <v> </v>
      </c>
      <c r="F28" s="66" t="str">
        <f>'12 Spieler'!$W$16</f>
        <v> </v>
      </c>
      <c r="G28" s="66" t="str">
        <f>'12 Spieler'!$Q$33</f>
        <v> </v>
      </c>
      <c r="H28" s="66" t="str">
        <f>'12 Spieler'!$O$17</f>
        <v> </v>
      </c>
      <c r="I28" s="65" t="s">
        <v>18</v>
      </c>
      <c r="J28" s="66" t="str">
        <f>'12 Spieler'!$I$17</f>
        <v> </v>
      </c>
      <c r="K28" s="66" t="str">
        <f>'12 Spieler'!$W$23</f>
        <v> </v>
      </c>
      <c r="L28" s="66" t="str">
        <f>'12 Spieler'!$Q$46</f>
        <v> </v>
      </c>
      <c r="M28" s="66" t="str">
        <f>'12 Spieler'!$O$24</f>
        <v> </v>
      </c>
      <c r="N28" s="66" t="str">
        <f>'12 Spieler'!$I$45</f>
        <v> </v>
      </c>
      <c r="O28" s="29" t="str">
        <f>'12 Spieler'!$G$32</f>
        <v> </v>
      </c>
      <c r="P28" s="72" t="str">
        <f t="shared" si="19"/>
        <v> </v>
      </c>
      <c r="Q28" s="56">
        <f t="shared" si="20"/>
      </c>
      <c r="R28" s="58" t="str">
        <f>IF('Tabelle 12'!$C$5=C28,'Tabelle 12'!$R$5,"")&amp;IF('Tabelle 12'!$C$6=C28,'Tabelle 12'!$R$6,"")&amp;IF('Tabelle 12'!$C$7=C28,'Tabelle 12'!$R$7,"")&amp;IF('Tabelle 12'!$C$8=C28,'Tabelle 12'!$R$8,"")&amp;IF('Tabelle 12'!$C$9=C28,'Tabelle 12'!$R$9,"")&amp;IF('Tabelle 12'!$C$10=C28,'Tabelle 12'!$R$10,"")&amp;IF('Tabelle 12'!$C$11=C28,'Tabelle 12'!$R$11,"")&amp;IF('Tabelle 12'!$C$12=C28,'Tabelle 12'!$R$12,"")&amp;IF('Tabelle 12'!$C$13=C28,'Tabelle 12'!$R$13,"")&amp;IF('Tabelle 12'!$C$14=C28,'Tabelle 12'!$R$14,"")&amp;IF('Tabelle 12'!$C$15=C28,'Tabelle 12'!$R$15,"")&amp;IF('Tabelle 12'!$C$16=C28,'Tabelle 12'!$R$16,"")</f>
        <v> </v>
      </c>
      <c r="S28" s="2"/>
      <c r="T28" s="2"/>
      <c r="U28" s="2"/>
      <c r="V28" s="2"/>
      <c r="W28" s="2"/>
      <c r="X28" s="2"/>
      <c r="Y28" s="2"/>
      <c r="Z28" s="2"/>
      <c r="AA28" s="10">
        <f t="shared" si="21"/>
        <v>6</v>
      </c>
      <c r="AB28" s="25" t="str">
        <f t="shared" si="22"/>
        <v>Spieler 6</v>
      </c>
      <c r="AC28" s="96" t="str">
        <f t="shared" si="23"/>
        <v> </v>
      </c>
      <c r="AD28" s="96" t="str">
        <f t="shared" si="24"/>
        <v> </v>
      </c>
      <c r="AE28" s="96" t="str">
        <f t="shared" si="25"/>
        <v> </v>
      </c>
      <c r="AF28" s="96" t="str">
        <f t="shared" si="26"/>
        <v> </v>
      </c>
      <c r="AG28" s="96" t="str">
        <f t="shared" si="27"/>
        <v> </v>
      </c>
      <c r="AH28" s="96" t="str">
        <f t="shared" si="28"/>
        <v> </v>
      </c>
      <c r="AI28" s="96" t="str">
        <f t="shared" si="29"/>
        <v> </v>
      </c>
      <c r="AJ28" s="96" t="str">
        <f t="shared" si="30"/>
        <v> </v>
      </c>
      <c r="AK28" s="96" t="str">
        <f t="shared" si="31"/>
        <v> </v>
      </c>
      <c r="AL28" s="96" t="str">
        <f t="shared" si="32"/>
        <v> </v>
      </c>
      <c r="AM28" s="96" t="str">
        <f t="shared" si="33"/>
        <v> </v>
      </c>
      <c r="AN28" s="97" t="str">
        <f t="shared" si="34"/>
        <v> </v>
      </c>
      <c r="AO28" s="72" t="str">
        <f t="shared" si="35"/>
        <v> </v>
      </c>
      <c r="AP28" s="56">
        <f t="shared" si="36"/>
      </c>
      <c r="AQ28" s="58" t="str">
        <f t="shared" si="37"/>
        <v> </v>
      </c>
      <c r="AR28" s="86">
        <v>10</v>
      </c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2:75" ht="24.75" customHeight="1">
      <c r="B29" s="10">
        <v>7</v>
      </c>
      <c r="C29" s="25" t="str">
        <f>Eingabe!$C$12</f>
        <v>Spieler 7</v>
      </c>
      <c r="D29" s="66" t="str">
        <f>'12 Spieler'!$Y$35</f>
        <v> </v>
      </c>
      <c r="E29" s="66" t="str">
        <f>'12 Spieler'!$W$15</f>
        <v> </v>
      </c>
      <c r="F29" s="66" t="str">
        <f>'12 Spieler'!$Q$34</f>
        <v> </v>
      </c>
      <c r="G29" s="66" t="str">
        <f>'12 Spieler'!$O$16</f>
        <v> </v>
      </c>
      <c r="H29" s="66" t="str">
        <f>'12 Spieler'!$I$33</f>
        <v> </v>
      </c>
      <c r="I29" s="66" t="str">
        <f>'12 Spieler'!$G$17</f>
        <v> </v>
      </c>
      <c r="J29" s="65" t="s">
        <v>18</v>
      </c>
      <c r="K29" s="66" t="str">
        <f>'12 Spieler'!$Q$47</f>
        <v> </v>
      </c>
      <c r="L29" s="66" t="str">
        <f>'12 Spieler'!$O$23</f>
        <v> </v>
      </c>
      <c r="M29" s="66" t="str">
        <f>'12 Spieler'!$I$46</f>
        <v> </v>
      </c>
      <c r="N29" s="66" t="str">
        <f>'12 Spieler'!$G$24</f>
        <v> </v>
      </c>
      <c r="O29" s="29" t="str">
        <f>'12 Spieler'!$W$22</f>
        <v> </v>
      </c>
      <c r="P29" s="72" t="str">
        <f t="shared" si="19"/>
        <v> </v>
      </c>
      <c r="Q29" s="56">
        <f t="shared" si="20"/>
      </c>
      <c r="R29" s="58" t="str">
        <f>IF('Tabelle 12'!$C$5=C29,'Tabelle 12'!$R$5,"")&amp;IF('Tabelle 12'!$C$6=C29,'Tabelle 12'!$R$6,"")&amp;IF('Tabelle 12'!$C$7=C29,'Tabelle 12'!$R$7,"")&amp;IF('Tabelle 12'!$C$8=C29,'Tabelle 12'!$R$8,"")&amp;IF('Tabelle 12'!$C$9=C29,'Tabelle 12'!$R$9,"")&amp;IF('Tabelle 12'!$C$10=C29,'Tabelle 12'!$R$10,"")&amp;IF('Tabelle 12'!$C$11=C29,'Tabelle 12'!$R$11,"")&amp;IF('Tabelle 12'!$C$12=C29,'Tabelle 12'!$R$12,"")&amp;IF('Tabelle 12'!$C$13=C29,'Tabelle 12'!$R$13,"")&amp;IF('Tabelle 12'!$C$14=C29,'Tabelle 12'!$R$14,"")&amp;IF('Tabelle 12'!$C$15=C29,'Tabelle 12'!$R$15,"")&amp;IF('Tabelle 12'!$C$16=C29,'Tabelle 12'!$R$16,"")</f>
        <v> </v>
      </c>
      <c r="S29" s="2"/>
      <c r="T29" s="2"/>
      <c r="U29" s="2"/>
      <c r="V29" s="2"/>
      <c r="W29" s="2"/>
      <c r="X29" s="2"/>
      <c r="Y29" s="2"/>
      <c r="Z29" s="2"/>
      <c r="AA29" s="10">
        <f t="shared" si="21"/>
        <v>7</v>
      </c>
      <c r="AB29" s="25" t="str">
        <f t="shared" si="22"/>
        <v>Spieler 7</v>
      </c>
      <c r="AC29" s="96" t="str">
        <f t="shared" si="23"/>
        <v> </v>
      </c>
      <c r="AD29" s="96" t="str">
        <f t="shared" si="24"/>
        <v> </v>
      </c>
      <c r="AE29" s="96" t="str">
        <f t="shared" si="25"/>
        <v> </v>
      </c>
      <c r="AF29" s="96" t="str">
        <f t="shared" si="26"/>
        <v> </v>
      </c>
      <c r="AG29" s="96" t="str">
        <f t="shared" si="27"/>
        <v> </v>
      </c>
      <c r="AH29" s="96" t="str">
        <f t="shared" si="28"/>
        <v> </v>
      </c>
      <c r="AI29" s="96" t="str">
        <f t="shared" si="29"/>
        <v> </v>
      </c>
      <c r="AJ29" s="96" t="str">
        <f t="shared" si="30"/>
        <v> </v>
      </c>
      <c r="AK29" s="96" t="str">
        <f t="shared" si="31"/>
        <v> </v>
      </c>
      <c r="AL29" s="96" t="str">
        <f t="shared" si="32"/>
        <v> </v>
      </c>
      <c r="AM29" s="96" t="str">
        <f t="shared" si="33"/>
        <v> </v>
      </c>
      <c r="AN29" s="97" t="str">
        <f t="shared" si="34"/>
        <v> </v>
      </c>
      <c r="AO29" s="72" t="str">
        <f t="shared" si="35"/>
        <v> </v>
      </c>
      <c r="AP29" s="56">
        <f t="shared" si="36"/>
      </c>
      <c r="AQ29" s="58" t="str">
        <f t="shared" si="37"/>
        <v> </v>
      </c>
      <c r="AR29" s="86">
        <v>11</v>
      </c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2:75" ht="24.75" customHeight="1">
      <c r="B30" s="10">
        <v>8</v>
      </c>
      <c r="C30" s="25" t="str">
        <f>Eingabe!$C$13</f>
        <v>Spieler 8</v>
      </c>
      <c r="D30" s="66" t="str">
        <f>'12 Spieler'!$W$14</f>
        <v> </v>
      </c>
      <c r="E30" s="66" t="str">
        <f>'12 Spieler'!$Q$35</f>
        <v> </v>
      </c>
      <c r="F30" s="66" t="str">
        <f>'12 Spieler'!$O$15</f>
        <v> </v>
      </c>
      <c r="G30" s="66" t="str">
        <f>'12 Spieler'!$I$34</f>
        <v> </v>
      </c>
      <c r="H30" s="66" t="str">
        <f>'12 Spieler'!$G$16</f>
        <v> </v>
      </c>
      <c r="I30" s="66" t="str">
        <f>'12 Spieler'!$Y$23</f>
        <v> </v>
      </c>
      <c r="J30" s="66" t="str">
        <f>'12 Spieler'!$O$47</f>
        <v> </v>
      </c>
      <c r="K30" s="65" t="s">
        <v>18</v>
      </c>
      <c r="L30" s="66" t="str">
        <f>'12 Spieler'!$I$47</f>
        <v> </v>
      </c>
      <c r="M30" s="66" t="str">
        <f>'12 Spieler'!$G$23</f>
        <v> </v>
      </c>
      <c r="N30" s="66" t="str">
        <f>'12 Spieler'!$Y$36</f>
        <v> </v>
      </c>
      <c r="O30" s="29" t="str">
        <f>'12 Spieler'!$O$22</f>
        <v> </v>
      </c>
      <c r="P30" s="72" t="str">
        <f t="shared" si="19"/>
        <v> </v>
      </c>
      <c r="Q30" s="56">
        <f t="shared" si="20"/>
      </c>
      <c r="R30" s="58" t="str">
        <f>IF('Tabelle 12'!$C$5=C30,'Tabelle 12'!$R$5,"")&amp;IF('Tabelle 12'!$C$6=C30,'Tabelle 12'!$R$6,"")&amp;IF('Tabelle 12'!$C$7=C30,'Tabelle 12'!$R$7,"")&amp;IF('Tabelle 12'!$C$8=C30,'Tabelle 12'!$R$8,"")&amp;IF('Tabelle 12'!$C$9=C30,'Tabelle 12'!$R$9,"")&amp;IF('Tabelle 12'!$C$10=C30,'Tabelle 12'!$R$10,"")&amp;IF('Tabelle 12'!$C$11=C30,'Tabelle 12'!$R$11,"")&amp;IF('Tabelle 12'!$C$12=C30,'Tabelle 12'!$R$12,"")&amp;IF('Tabelle 12'!$C$13=C30,'Tabelle 12'!$R$13,"")&amp;IF('Tabelle 12'!$C$14=C30,'Tabelle 12'!$R$14,"")&amp;IF('Tabelle 12'!$C$15=C30,'Tabelle 12'!$R$15,"")&amp;IF('Tabelle 12'!$C$16=C30,'Tabelle 12'!$R$16,"")</f>
        <v> </v>
      </c>
      <c r="S30" s="2"/>
      <c r="T30" s="2"/>
      <c r="U30" s="2"/>
      <c r="V30" s="2"/>
      <c r="W30" s="2"/>
      <c r="X30" s="2"/>
      <c r="Y30" s="2"/>
      <c r="Z30" s="2"/>
      <c r="AA30" s="10">
        <f t="shared" si="21"/>
        <v>8</v>
      </c>
      <c r="AB30" s="25" t="str">
        <f t="shared" si="22"/>
        <v>Spieler 8</v>
      </c>
      <c r="AC30" s="96" t="str">
        <f t="shared" si="23"/>
        <v> </v>
      </c>
      <c r="AD30" s="96" t="str">
        <f t="shared" si="24"/>
        <v> </v>
      </c>
      <c r="AE30" s="96" t="str">
        <f t="shared" si="25"/>
        <v> </v>
      </c>
      <c r="AF30" s="96" t="str">
        <f t="shared" si="26"/>
        <v> </v>
      </c>
      <c r="AG30" s="96" t="str">
        <f t="shared" si="27"/>
        <v> </v>
      </c>
      <c r="AH30" s="96" t="str">
        <f t="shared" si="28"/>
        <v> </v>
      </c>
      <c r="AI30" s="96" t="str">
        <f t="shared" si="29"/>
        <v> </v>
      </c>
      <c r="AJ30" s="96" t="str">
        <f t="shared" si="30"/>
        <v> </v>
      </c>
      <c r="AK30" s="96" t="str">
        <f t="shared" si="31"/>
        <v> </v>
      </c>
      <c r="AL30" s="96" t="str">
        <f t="shared" si="32"/>
        <v> </v>
      </c>
      <c r="AM30" s="96" t="str">
        <f t="shared" si="33"/>
        <v> </v>
      </c>
      <c r="AN30" s="97" t="str">
        <f t="shared" si="34"/>
        <v> </v>
      </c>
      <c r="AO30" s="72" t="str">
        <f t="shared" si="35"/>
        <v> </v>
      </c>
      <c r="AP30" s="56">
        <f t="shared" si="36"/>
      </c>
      <c r="AQ30" s="58" t="str">
        <f t="shared" si="37"/>
        <v> </v>
      </c>
      <c r="AR30" s="86">
        <v>12</v>
      </c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2:75" ht="24.75" customHeight="1">
      <c r="B31" s="10">
        <v>9</v>
      </c>
      <c r="C31" s="25" t="str">
        <f>Eingabe!$C$14</f>
        <v>Spieler 9</v>
      </c>
      <c r="D31" s="66" t="str">
        <f>'12 Spieler'!$Q$36</f>
        <v> </v>
      </c>
      <c r="E31" s="66" t="str">
        <f>'12 Spieler'!$O$14</f>
        <v> </v>
      </c>
      <c r="F31" s="66" t="str">
        <f>'12 Spieler'!$I$35</f>
        <v> </v>
      </c>
      <c r="G31" s="66" t="str">
        <f>'12 Spieler'!$G$15</f>
        <v> </v>
      </c>
      <c r="H31" s="66" t="str">
        <f>'12 Spieler'!$Y$24</f>
        <v> </v>
      </c>
      <c r="I31" s="66" t="str">
        <f>'12 Spieler'!$O$46</f>
        <v> </v>
      </c>
      <c r="J31" s="66" t="str">
        <f>'12 Spieler'!$Q$23</f>
        <v> </v>
      </c>
      <c r="K31" s="66" t="str">
        <f>'12 Spieler'!$G$47</f>
        <v> </v>
      </c>
      <c r="L31" s="65" t="s">
        <v>18</v>
      </c>
      <c r="M31" s="66" t="str">
        <f>'12 Spieler'!$Y$37</f>
        <v> </v>
      </c>
      <c r="N31" s="66" t="str">
        <f>'12 Spieler'!$W$13</f>
        <v> </v>
      </c>
      <c r="O31" s="29" t="str">
        <f>'12 Spieler'!$G$22</f>
        <v> </v>
      </c>
      <c r="P31" s="72" t="str">
        <f t="shared" si="19"/>
        <v> </v>
      </c>
      <c r="Q31" s="56">
        <f t="shared" si="20"/>
      </c>
      <c r="R31" s="58" t="str">
        <f>IF('Tabelle 12'!$C$5=C31,'Tabelle 12'!$R$5,"")&amp;IF('Tabelle 12'!$C$6=C31,'Tabelle 12'!$R$6,"")&amp;IF('Tabelle 12'!$C$7=C31,'Tabelle 12'!$R$7,"")&amp;IF('Tabelle 12'!$C$8=C31,'Tabelle 12'!$R$8,"")&amp;IF('Tabelle 12'!$C$9=C31,'Tabelle 12'!$R$9,"")&amp;IF('Tabelle 12'!$C$10=C31,'Tabelle 12'!$R$10,"")&amp;IF('Tabelle 12'!$C$11=C31,'Tabelle 12'!$R$11,"")&amp;IF('Tabelle 12'!$C$12=C31,'Tabelle 12'!$R$12,"")&amp;IF('Tabelle 12'!$C$13=C31,'Tabelle 12'!$R$13,"")&amp;IF('Tabelle 12'!$C$14=C31,'Tabelle 12'!$R$14,"")&amp;IF('Tabelle 12'!$C$15=C31,'Tabelle 12'!$R$15,"")&amp;IF('Tabelle 12'!$C$16=C31,'Tabelle 12'!$R$16,"")</f>
        <v> </v>
      </c>
      <c r="S31" s="2"/>
      <c r="T31" s="2"/>
      <c r="U31" s="2"/>
      <c r="V31" s="2"/>
      <c r="W31" s="2"/>
      <c r="X31" s="2"/>
      <c r="Y31" s="2"/>
      <c r="Z31" s="2"/>
      <c r="AA31" s="10">
        <f t="shared" si="21"/>
        <v>9</v>
      </c>
      <c r="AB31" s="25" t="str">
        <f t="shared" si="22"/>
        <v>Spieler 9</v>
      </c>
      <c r="AC31" s="96" t="str">
        <f t="shared" si="23"/>
        <v> </v>
      </c>
      <c r="AD31" s="96" t="str">
        <f t="shared" si="24"/>
        <v> </v>
      </c>
      <c r="AE31" s="96" t="str">
        <f t="shared" si="25"/>
        <v> </v>
      </c>
      <c r="AF31" s="96" t="str">
        <f t="shared" si="26"/>
        <v> </v>
      </c>
      <c r="AG31" s="96" t="str">
        <f t="shared" si="27"/>
        <v> </v>
      </c>
      <c r="AH31" s="96" t="str">
        <f t="shared" si="28"/>
        <v> </v>
      </c>
      <c r="AI31" s="96" t="str">
        <f t="shared" si="29"/>
        <v> </v>
      </c>
      <c r="AJ31" s="96" t="str">
        <f t="shared" si="30"/>
        <v> </v>
      </c>
      <c r="AK31" s="96" t="str">
        <f t="shared" si="31"/>
        <v> </v>
      </c>
      <c r="AL31" s="96" t="str">
        <f t="shared" si="32"/>
        <v> </v>
      </c>
      <c r="AM31" s="96" t="str">
        <f t="shared" si="33"/>
        <v> </v>
      </c>
      <c r="AN31" s="97" t="str">
        <f t="shared" si="34"/>
        <v> </v>
      </c>
      <c r="AO31" s="72" t="str">
        <f t="shared" si="35"/>
        <v> </v>
      </c>
      <c r="AP31" s="56">
        <f t="shared" si="36"/>
      </c>
      <c r="AQ31" s="58" t="str">
        <f t="shared" si="37"/>
        <v> </v>
      </c>
      <c r="AR31" s="86">
        <v>13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2:75" ht="24.75" customHeight="1">
      <c r="B32" s="10">
        <v>10</v>
      </c>
      <c r="C32" s="25" t="str">
        <f>Eingabe!$C$15</f>
        <v>Spieler 10</v>
      </c>
      <c r="D32" s="66" t="str">
        <f>'12 Spieler'!$O$13</f>
        <v> </v>
      </c>
      <c r="E32" s="66" t="str">
        <f>'12 Spieler'!$I$36</f>
        <v> </v>
      </c>
      <c r="F32" s="66" t="str">
        <f>'12 Spieler'!$G$14</f>
        <v> </v>
      </c>
      <c r="G32" s="66" t="str">
        <f>'12 Spieler'!$Y$25</f>
        <v> </v>
      </c>
      <c r="H32" s="66" t="str">
        <f>'12 Spieler'!$O$45</f>
        <v> </v>
      </c>
      <c r="I32" s="66" t="str">
        <f>'12 Spieler'!$Q$24</f>
        <v> </v>
      </c>
      <c r="J32" s="66" t="str">
        <f>'12 Spieler'!$G$46</f>
        <v> </v>
      </c>
      <c r="K32" s="66" t="str">
        <f>'12 Spieler'!$I$23</f>
        <v> </v>
      </c>
      <c r="L32" s="66" t="str">
        <f>'12 Spieler'!$W$37</f>
        <v> </v>
      </c>
      <c r="M32" s="65" t="s">
        <v>18</v>
      </c>
      <c r="N32" s="66" t="str">
        <f>'12 Spieler'!$Q$37</f>
        <v> </v>
      </c>
      <c r="O32" s="29" t="str">
        <f>'12 Spieler'!$W$12</f>
        <v> </v>
      </c>
      <c r="P32" s="72" t="str">
        <f t="shared" si="19"/>
        <v> </v>
      </c>
      <c r="Q32" s="56">
        <f t="shared" si="20"/>
      </c>
      <c r="R32" s="58" t="str">
        <f>IF('Tabelle 12'!$C$5=C32,'Tabelle 12'!$R$5,"")&amp;IF('Tabelle 12'!$C$6=C32,'Tabelle 12'!$R$6,"")&amp;IF('Tabelle 12'!$C$7=C32,'Tabelle 12'!$R$7,"")&amp;IF('Tabelle 12'!$C$8=C32,'Tabelle 12'!$R$8,"")&amp;IF('Tabelle 12'!$C$9=C32,'Tabelle 12'!$R$9,"")&amp;IF('Tabelle 12'!$C$10=C32,'Tabelle 12'!$R$10,"")&amp;IF('Tabelle 12'!$C$11=C32,'Tabelle 12'!$R$11,"")&amp;IF('Tabelle 12'!$C$12=C32,'Tabelle 12'!$R$12,"")&amp;IF('Tabelle 12'!$C$13=C32,'Tabelle 12'!$R$13,"")&amp;IF('Tabelle 12'!$C$14=C32,'Tabelle 12'!$R$14,"")&amp;IF('Tabelle 12'!$C$15=C32,'Tabelle 12'!$R$15,"")&amp;IF('Tabelle 12'!$C$16=C32,'Tabelle 12'!$R$16,"")</f>
        <v> </v>
      </c>
      <c r="S32" s="2"/>
      <c r="T32" s="2"/>
      <c r="U32" s="2"/>
      <c r="V32" s="2"/>
      <c r="W32" s="2"/>
      <c r="X32" s="2"/>
      <c r="Y32" s="2"/>
      <c r="Z32" s="2"/>
      <c r="AA32" s="10">
        <f t="shared" si="21"/>
        <v>10</v>
      </c>
      <c r="AB32" s="25" t="str">
        <f t="shared" si="22"/>
        <v>Spieler 10</v>
      </c>
      <c r="AC32" s="96" t="str">
        <f t="shared" si="23"/>
        <v> </v>
      </c>
      <c r="AD32" s="96" t="str">
        <f t="shared" si="24"/>
        <v> </v>
      </c>
      <c r="AE32" s="96" t="str">
        <f t="shared" si="25"/>
        <v> </v>
      </c>
      <c r="AF32" s="96" t="str">
        <f t="shared" si="26"/>
        <v> </v>
      </c>
      <c r="AG32" s="96" t="str">
        <f t="shared" si="27"/>
        <v> </v>
      </c>
      <c r="AH32" s="96" t="str">
        <f t="shared" si="28"/>
        <v> </v>
      </c>
      <c r="AI32" s="96" t="str">
        <f t="shared" si="29"/>
        <v> </v>
      </c>
      <c r="AJ32" s="96" t="str">
        <f t="shared" si="30"/>
        <v> </v>
      </c>
      <c r="AK32" s="96" t="str">
        <f t="shared" si="31"/>
        <v> </v>
      </c>
      <c r="AL32" s="96" t="str">
        <f t="shared" si="32"/>
        <v> </v>
      </c>
      <c r="AM32" s="96" t="str">
        <f t="shared" si="33"/>
        <v> </v>
      </c>
      <c r="AN32" s="97" t="str">
        <f t="shared" si="34"/>
        <v> </v>
      </c>
      <c r="AO32" s="72" t="str">
        <f t="shared" si="35"/>
        <v> </v>
      </c>
      <c r="AP32" s="56">
        <f t="shared" si="36"/>
      </c>
      <c r="AQ32" s="58" t="str">
        <f t="shared" si="37"/>
        <v> </v>
      </c>
      <c r="AR32" s="86">
        <v>14</v>
      </c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2:75" ht="24.75" customHeight="1">
      <c r="B33" s="10">
        <v>11</v>
      </c>
      <c r="C33" s="34" t="str">
        <f>Eingabe!$G$6</f>
        <v>Spieler 11</v>
      </c>
      <c r="D33" s="66" t="str">
        <f>'12 Spieler'!$I$37</f>
        <v> </v>
      </c>
      <c r="E33" s="66" t="str">
        <f>'12 Spieler'!$G$13</f>
        <v> </v>
      </c>
      <c r="F33" s="66" t="str">
        <f>'12 Spieler'!$Y$26</f>
        <v> </v>
      </c>
      <c r="G33" s="66" t="str">
        <f>'12 Spieler'!$O$44</f>
        <v> </v>
      </c>
      <c r="H33" s="66" t="str">
        <f>'12 Spieler'!$Q$25</f>
        <v> </v>
      </c>
      <c r="I33" s="66" t="str">
        <f>'12 Spieler'!$G$45</f>
        <v> </v>
      </c>
      <c r="J33" s="66" t="str">
        <f>'12 Spieler'!$I$24</f>
        <v> </v>
      </c>
      <c r="K33" s="66" t="str">
        <f>'12 Spieler'!$W$36</f>
        <v> </v>
      </c>
      <c r="L33" s="66" t="str">
        <f>'12 Spieler'!$Y$13</f>
        <v> </v>
      </c>
      <c r="M33" s="66" t="str">
        <f>'12 Spieler'!$O$37</f>
        <v> </v>
      </c>
      <c r="N33" s="65" t="s">
        <v>18</v>
      </c>
      <c r="O33" s="29" t="str">
        <f>'12 Spieler'!$O$12</f>
        <v> </v>
      </c>
      <c r="P33" s="72" t="str">
        <f t="shared" si="19"/>
        <v> </v>
      </c>
      <c r="Q33" s="56">
        <f t="shared" si="20"/>
      </c>
      <c r="R33" s="58" t="str">
        <f>IF('Tabelle 12'!$C$5=C33,'Tabelle 12'!$R$5,"")&amp;IF('Tabelle 12'!$C$6=C33,'Tabelle 12'!$R$6,"")&amp;IF('Tabelle 12'!$C$7=C33,'Tabelle 12'!$R$7,"")&amp;IF('Tabelle 12'!$C$8=C33,'Tabelle 12'!$R$8,"")&amp;IF('Tabelle 12'!$C$9=C33,'Tabelle 12'!$R$9,"")&amp;IF('Tabelle 12'!$C$10=C33,'Tabelle 12'!$R$10,"")&amp;IF('Tabelle 12'!$C$11=C33,'Tabelle 12'!$R$11,"")&amp;IF('Tabelle 12'!$C$12=C33,'Tabelle 12'!$R$12,"")&amp;IF('Tabelle 12'!$C$13=C33,'Tabelle 12'!$R$13,"")&amp;IF('Tabelle 12'!$C$14=C33,'Tabelle 12'!$R$14,"")&amp;IF('Tabelle 12'!$C$15=C33,'Tabelle 12'!$R$15,"")&amp;IF('Tabelle 12'!$C$16=C33,'Tabelle 12'!$R$16,"")</f>
        <v> </v>
      </c>
      <c r="S33" s="2"/>
      <c r="T33" s="2"/>
      <c r="U33" s="2"/>
      <c r="V33" s="2"/>
      <c r="W33" s="2"/>
      <c r="X33" s="2"/>
      <c r="Y33" s="2"/>
      <c r="Z33" s="2"/>
      <c r="AA33" s="10">
        <f t="shared" si="21"/>
        <v>11</v>
      </c>
      <c r="AB33" s="34" t="str">
        <f t="shared" si="22"/>
        <v>Spieler 11</v>
      </c>
      <c r="AC33" s="96" t="str">
        <f t="shared" si="23"/>
        <v> </v>
      </c>
      <c r="AD33" s="96" t="str">
        <f t="shared" si="24"/>
        <v> </v>
      </c>
      <c r="AE33" s="96" t="str">
        <f t="shared" si="25"/>
        <v> </v>
      </c>
      <c r="AF33" s="96" t="str">
        <f t="shared" si="26"/>
        <v> </v>
      </c>
      <c r="AG33" s="96" t="str">
        <f t="shared" si="27"/>
        <v> </v>
      </c>
      <c r="AH33" s="96" t="str">
        <f t="shared" si="28"/>
        <v> </v>
      </c>
      <c r="AI33" s="96" t="str">
        <f t="shared" si="29"/>
        <v> </v>
      </c>
      <c r="AJ33" s="96" t="str">
        <f t="shared" si="30"/>
        <v> </v>
      </c>
      <c r="AK33" s="96" t="str">
        <f t="shared" si="31"/>
        <v> </v>
      </c>
      <c r="AL33" s="96" t="str">
        <f t="shared" si="32"/>
        <v> </v>
      </c>
      <c r="AM33" s="96" t="str">
        <f t="shared" si="33"/>
        <v> </v>
      </c>
      <c r="AN33" s="97" t="str">
        <f t="shared" si="34"/>
        <v> </v>
      </c>
      <c r="AO33" s="72" t="str">
        <f t="shared" si="35"/>
        <v> </v>
      </c>
      <c r="AP33" s="56">
        <f t="shared" si="36"/>
      </c>
      <c r="AQ33" s="58" t="str">
        <f t="shared" si="37"/>
        <v> </v>
      </c>
      <c r="AR33" s="86">
        <v>15</v>
      </c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2:75" ht="24.75" customHeight="1" thickBot="1">
      <c r="B34" s="24">
        <v>12</v>
      </c>
      <c r="C34" s="26" t="str">
        <f>Eingabe!$G$7</f>
        <v>Spieler 12 / spielfrei</v>
      </c>
      <c r="D34" s="67" t="str">
        <f>'12 Spieler'!$I$12</f>
        <v> </v>
      </c>
      <c r="E34" s="67" t="str">
        <f>'12 Spieler'!$Q$42</f>
        <v> </v>
      </c>
      <c r="F34" s="67" t="str">
        <f>'12 Spieler'!$I$42</f>
        <v> </v>
      </c>
      <c r="G34" s="67" t="str">
        <f>'12 Spieler'!$Y$32</f>
        <v> </v>
      </c>
      <c r="H34" s="67" t="str">
        <f>'12 Spieler'!$Q$32</f>
        <v> </v>
      </c>
      <c r="I34" s="67" t="str">
        <f>'12 Spieler'!$I$32</f>
        <v> </v>
      </c>
      <c r="J34" s="67" t="str">
        <f>'12 Spieler'!$Y$22</f>
        <v> </v>
      </c>
      <c r="K34" s="67" t="str">
        <f>'12 Spieler'!$Q$22</f>
        <v> </v>
      </c>
      <c r="L34" s="67" t="str">
        <f>'12 Spieler'!$I$22</f>
        <v> </v>
      </c>
      <c r="M34" s="67" t="str">
        <f>'12 Spieler'!$Y$12</f>
        <v> </v>
      </c>
      <c r="N34" s="67" t="str">
        <f>'12 Spieler'!$Q$12</f>
        <v> </v>
      </c>
      <c r="O34" s="68" t="s">
        <v>18</v>
      </c>
      <c r="P34" s="73" t="str">
        <f>IF($C$34="spielfrei",-0.001,IF(COUNT($O$23,$N$24,$M$25,$L$26,$K$27,$J$28,$I$29,$H$30,$G$31,$F$32,$E$33,$D$34)&gt;0,SUM(D34:O34)," "))</f>
        <v> </v>
      </c>
      <c r="Q34" s="57">
        <f t="shared" si="20"/>
      </c>
      <c r="R34" s="59" t="str">
        <f>IF('Tabelle 12'!$C$5=C34,'Tabelle 12'!$R$5,"")&amp;IF('Tabelle 12'!$C$6=C34,'Tabelle 12'!$R$6,"")&amp;IF('Tabelle 12'!$C$7=C34,'Tabelle 12'!$R$7,"")&amp;IF('Tabelle 12'!$C$8=C34,'Tabelle 12'!$R$8,"")&amp;IF('Tabelle 12'!$C$9=C34,'Tabelle 12'!$R$9,"")&amp;IF('Tabelle 12'!$C$10=C34,'Tabelle 12'!$R$10,"")&amp;IF('Tabelle 12'!$C$11=C34,'Tabelle 12'!$R$11,"")&amp;IF('Tabelle 12'!$C$12=C34,'Tabelle 12'!$R$12,"")&amp;IF('Tabelle 12'!$C$13=C34,'Tabelle 12'!$R$13,"")&amp;IF('Tabelle 12'!$C$14=C34,'Tabelle 12'!$R$14,"")&amp;IF('Tabelle 12'!$C$15=C34,'Tabelle 12'!$R$15,"")&amp;IF('Tabelle 12'!$C$16=C34,'Tabelle 12'!$R$16,"")</f>
        <v> </v>
      </c>
      <c r="S34" s="2"/>
      <c r="T34" s="2"/>
      <c r="U34" s="2"/>
      <c r="V34" s="2"/>
      <c r="W34" s="2"/>
      <c r="X34" s="2"/>
      <c r="Y34" s="2"/>
      <c r="Z34" s="2"/>
      <c r="AA34" s="24">
        <f t="shared" si="21"/>
        <v>12</v>
      </c>
      <c r="AB34" s="26" t="str">
        <f t="shared" si="22"/>
        <v>Spieler 12 / spielfrei</v>
      </c>
      <c r="AC34" s="98" t="str">
        <f t="shared" si="23"/>
        <v> </v>
      </c>
      <c r="AD34" s="98" t="str">
        <f t="shared" si="24"/>
        <v> </v>
      </c>
      <c r="AE34" s="98" t="str">
        <f t="shared" si="25"/>
        <v> </v>
      </c>
      <c r="AF34" s="98" t="str">
        <f t="shared" si="26"/>
        <v> </v>
      </c>
      <c r="AG34" s="98" t="str">
        <f t="shared" si="27"/>
        <v> </v>
      </c>
      <c r="AH34" s="98" t="str">
        <f t="shared" si="28"/>
        <v> </v>
      </c>
      <c r="AI34" s="98" t="str">
        <f t="shared" si="29"/>
        <v> </v>
      </c>
      <c r="AJ34" s="98" t="str">
        <f t="shared" si="30"/>
        <v> </v>
      </c>
      <c r="AK34" s="98" t="str">
        <f t="shared" si="31"/>
        <v> </v>
      </c>
      <c r="AL34" s="98" t="str">
        <f t="shared" si="32"/>
        <v> </v>
      </c>
      <c r="AM34" s="98" t="str">
        <f t="shared" si="33"/>
        <v> </v>
      </c>
      <c r="AN34" s="99" t="str">
        <f t="shared" si="34"/>
        <v> </v>
      </c>
      <c r="AO34" s="73" t="str">
        <f t="shared" si="35"/>
        <v> </v>
      </c>
      <c r="AP34" s="57">
        <f t="shared" si="36"/>
      </c>
      <c r="AQ34" s="59" t="str">
        <f t="shared" si="37"/>
        <v> </v>
      </c>
      <c r="AR34" s="86">
        <v>16</v>
      </c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7" spans="29:40" ht="12.75">
      <c r="AC37" s="1" t="str">
        <f>IF(AC38=1,"AC","")&amp;IF(AC38=2,"AD","")&amp;IF(AC38=3,"AE","")&amp;IF(AC38=4,"AF","")&amp;IF(AC38=5,"AG","")&amp;IF(AC38=6,"AH","")&amp;IF(AC38=7,"AI","")&amp;IF(AC38=8,"AJ","")&amp;IF(AC38=9,"AK","")&amp;IF(AC38=10,"AL","")&amp;IF(AC38=11,"AM","")&amp;IF(AC38=12,"AN","")</f>
        <v>AC</v>
      </c>
      <c r="AD37" s="1" t="str">
        <f aca="true" t="shared" si="38" ref="AD37:AN37">IF(AD38=1,"AC","")&amp;IF(AD38=2,"AD","")&amp;IF(AD38=3,"AE","")&amp;IF(AD38=4,"AF","")&amp;IF(AD38=5,"AG","")&amp;IF(AD38=6,"AH","")&amp;IF(AD38=7,"AI","")&amp;IF(AD38=8,"AJ","")&amp;IF(AD38=9,"AK","")&amp;IF(AD38=10,"AL","")&amp;IF(AD38=11,"AM","")&amp;IF(AD38=12,"AN","")</f>
        <v>AD</v>
      </c>
      <c r="AE37" s="1" t="str">
        <f t="shared" si="38"/>
        <v>AE</v>
      </c>
      <c r="AF37" s="1" t="str">
        <f t="shared" si="38"/>
        <v>AF</v>
      </c>
      <c r="AG37" s="1" t="str">
        <f t="shared" si="38"/>
        <v>AG</v>
      </c>
      <c r="AH37" s="1" t="str">
        <f t="shared" si="38"/>
        <v>AH</v>
      </c>
      <c r="AI37" s="1" t="str">
        <f t="shared" si="38"/>
        <v>AI</v>
      </c>
      <c r="AJ37" s="1" t="str">
        <f t="shared" si="38"/>
        <v>AJ</v>
      </c>
      <c r="AK37" s="1" t="str">
        <f t="shared" si="38"/>
        <v>AK</v>
      </c>
      <c r="AL37" s="1" t="str">
        <f t="shared" si="38"/>
        <v>AL</v>
      </c>
      <c r="AM37" s="1" t="str">
        <f t="shared" si="38"/>
        <v>AM</v>
      </c>
      <c r="AN37" s="1" t="str">
        <f t="shared" si="38"/>
        <v>AN</v>
      </c>
    </row>
    <row r="38" spans="29:40" ht="12.75">
      <c r="AC38" s="1">
        <f>$AA$23</f>
        <v>1</v>
      </c>
      <c r="AD38" s="1">
        <f>$AA$24</f>
        <v>2</v>
      </c>
      <c r="AE38" s="1">
        <f>$AA$25</f>
        <v>3</v>
      </c>
      <c r="AF38" s="1">
        <f>$AA$26</f>
        <v>4</v>
      </c>
      <c r="AG38" s="1">
        <f>$AA$27</f>
        <v>5</v>
      </c>
      <c r="AH38" s="1">
        <f>$AA$28</f>
        <v>6</v>
      </c>
      <c r="AI38" s="1">
        <f>$AA$29</f>
        <v>7</v>
      </c>
      <c r="AJ38" s="1">
        <f>$AA$30</f>
        <v>8</v>
      </c>
      <c r="AK38" s="1">
        <f>$AA$31</f>
        <v>9</v>
      </c>
      <c r="AL38" s="1">
        <f>$AA$32</f>
        <v>10</v>
      </c>
      <c r="AM38" s="1">
        <f>$AA$33</f>
        <v>11</v>
      </c>
      <c r="AN38" s="1">
        <f>$AA$34</f>
        <v>12</v>
      </c>
    </row>
    <row r="39" spans="28:40" ht="12.75">
      <c r="AB39">
        <v>23</v>
      </c>
      <c r="AC39" t="str">
        <f ca="1" t="shared" si="39" ref="AC39:AC50">INDIRECT(AC$37&amp;$AB39)</f>
        <v> </v>
      </c>
      <c r="AD39" t="str">
        <f ca="1" t="shared" si="40" ref="AD39:AN50">INDIRECT(AD$37&amp;$AB39)</f>
        <v> </v>
      </c>
      <c r="AE39" t="str">
        <f ca="1" t="shared" si="40"/>
        <v> </v>
      </c>
      <c r="AF39" t="str">
        <f ca="1" t="shared" si="40"/>
        <v> </v>
      </c>
      <c r="AG39" t="str">
        <f ca="1" t="shared" si="40"/>
        <v> </v>
      </c>
      <c r="AH39" t="str">
        <f ca="1" t="shared" si="40"/>
        <v> </v>
      </c>
      <c r="AI39" t="str">
        <f ca="1" t="shared" si="40"/>
        <v> </v>
      </c>
      <c r="AJ39" t="str">
        <f ca="1" t="shared" si="40"/>
        <v> </v>
      </c>
      <c r="AK39" t="str">
        <f ca="1" t="shared" si="40"/>
        <v> </v>
      </c>
      <c r="AL39" t="str">
        <f ca="1" t="shared" si="40"/>
        <v> </v>
      </c>
      <c r="AM39" t="str">
        <f ca="1" t="shared" si="40"/>
        <v> </v>
      </c>
      <c r="AN39" t="str">
        <f ca="1" t="shared" si="40"/>
        <v> </v>
      </c>
    </row>
    <row r="40" spans="28:40" ht="12.75">
      <c r="AB40">
        <v>24</v>
      </c>
      <c r="AC40" t="str">
        <f ca="1" t="shared" si="39"/>
        <v> </v>
      </c>
      <c r="AD40" t="str">
        <f ca="1" t="shared" si="40"/>
        <v> </v>
      </c>
      <c r="AE40" t="str">
        <f ca="1" t="shared" si="40"/>
        <v> </v>
      </c>
      <c r="AF40" t="str">
        <f ca="1" t="shared" si="40"/>
        <v> </v>
      </c>
      <c r="AG40" t="str">
        <f ca="1" t="shared" si="40"/>
        <v> </v>
      </c>
      <c r="AH40" t="str">
        <f ca="1" t="shared" si="40"/>
        <v> </v>
      </c>
      <c r="AI40" t="str">
        <f ca="1" t="shared" si="40"/>
        <v> </v>
      </c>
      <c r="AJ40" t="str">
        <f ca="1" t="shared" si="40"/>
        <v> </v>
      </c>
      <c r="AK40" t="str">
        <f ca="1" t="shared" si="40"/>
        <v> </v>
      </c>
      <c r="AL40" t="str">
        <f ca="1" t="shared" si="40"/>
        <v> </v>
      </c>
      <c r="AM40" t="str">
        <f ca="1" t="shared" si="40"/>
        <v> </v>
      </c>
      <c r="AN40" t="str">
        <f ca="1" t="shared" si="40"/>
        <v> </v>
      </c>
    </row>
    <row r="41" spans="28:40" ht="12.75">
      <c r="AB41">
        <v>25</v>
      </c>
      <c r="AC41" t="str">
        <f ca="1" t="shared" si="39"/>
        <v> </v>
      </c>
      <c r="AD41" t="str">
        <f ca="1" t="shared" si="40"/>
        <v> </v>
      </c>
      <c r="AE41" t="str">
        <f ca="1" t="shared" si="40"/>
        <v> </v>
      </c>
      <c r="AF41" t="str">
        <f ca="1" t="shared" si="40"/>
        <v> </v>
      </c>
      <c r="AG41" t="str">
        <f ca="1" t="shared" si="40"/>
        <v> </v>
      </c>
      <c r="AH41" t="str">
        <f ca="1" t="shared" si="40"/>
        <v> </v>
      </c>
      <c r="AI41" t="str">
        <f ca="1" t="shared" si="40"/>
        <v> </v>
      </c>
      <c r="AJ41" t="str">
        <f ca="1" t="shared" si="40"/>
        <v> </v>
      </c>
      <c r="AK41" t="str">
        <f ca="1" t="shared" si="40"/>
        <v> </v>
      </c>
      <c r="AL41" t="str">
        <f ca="1" t="shared" si="40"/>
        <v> </v>
      </c>
      <c r="AM41" t="str">
        <f ca="1" t="shared" si="40"/>
        <v> </v>
      </c>
      <c r="AN41" t="str">
        <f ca="1" t="shared" si="40"/>
        <v> </v>
      </c>
    </row>
    <row r="42" spans="28:40" ht="12.75">
      <c r="AB42">
        <v>26</v>
      </c>
      <c r="AC42" t="str">
        <f ca="1" t="shared" si="39"/>
        <v> </v>
      </c>
      <c r="AD42" t="str">
        <f ca="1" t="shared" si="40"/>
        <v> </v>
      </c>
      <c r="AE42" t="str">
        <f ca="1" t="shared" si="40"/>
        <v> </v>
      </c>
      <c r="AF42" t="str">
        <f ca="1" t="shared" si="40"/>
        <v> </v>
      </c>
      <c r="AG42" t="str">
        <f ca="1" t="shared" si="40"/>
        <v> </v>
      </c>
      <c r="AH42" t="str">
        <f ca="1" t="shared" si="40"/>
        <v> </v>
      </c>
      <c r="AI42" t="str">
        <f ca="1" t="shared" si="40"/>
        <v> </v>
      </c>
      <c r="AJ42" t="str">
        <f ca="1" t="shared" si="40"/>
        <v> </v>
      </c>
      <c r="AK42" t="str">
        <f ca="1" t="shared" si="40"/>
        <v> </v>
      </c>
      <c r="AL42" t="str">
        <f ca="1" t="shared" si="40"/>
        <v> </v>
      </c>
      <c r="AM42" t="str">
        <f ca="1" t="shared" si="40"/>
        <v> </v>
      </c>
      <c r="AN42" t="str">
        <f ca="1" t="shared" si="40"/>
        <v> </v>
      </c>
    </row>
    <row r="43" spans="28:40" ht="12.75">
      <c r="AB43">
        <v>27</v>
      </c>
      <c r="AC43" t="str">
        <f ca="1" t="shared" si="39"/>
        <v> </v>
      </c>
      <c r="AD43" t="str">
        <f ca="1" t="shared" si="40"/>
        <v> </v>
      </c>
      <c r="AE43" t="str">
        <f ca="1" t="shared" si="40"/>
        <v> </v>
      </c>
      <c r="AF43" t="str">
        <f ca="1" t="shared" si="40"/>
        <v> </v>
      </c>
      <c r="AG43" t="str">
        <f ca="1" t="shared" si="40"/>
        <v> </v>
      </c>
      <c r="AH43" t="str">
        <f ca="1" t="shared" si="40"/>
        <v> </v>
      </c>
      <c r="AI43" t="str">
        <f ca="1" t="shared" si="40"/>
        <v> </v>
      </c>
      <c r="AJ43" t="str">
        <f ca="1" t="shared" si="40"/>
        <v> </v>
      </c>
      <c r="AK43" t="str">
        <f ca="1" t="shared" si="40"/>
        <v> </v>
      </c>
      <c r="AL43" t="str">
        <f ca="1" t="shared" si="40"/>
        <v> </v>
      </c>
      <c r="AM43" t="str">
        <f ca="1" t="shared" si="40"/>
        <v> </v>
      </c>
      <c r="AN43" t="str">
        <f ca="1" t="shared" si="40"/>
        <v> </v>
      </c>
    </row>
    <row r="44" spans="28:40" ht="12.75">
      <c r="AB44">
        <v>28</v>
      </c>
      <c r="AC44" t="str">
        <f ca="1" t="shared" si="39"/>
        <v> </v>
      </c>
      <c r="AD44" t="str">
        <f ca="1" t="shared" si="40"/>
        <v> </v>
      </c>
      <c r="AE44" t="str">
        <f ca="1" t="shared" si="40"/>
        <v> </v>
      </c>
      <c r="AF44" t="str">
        <f ca="1" t="shared" si="40"/>
        <v> </v>
      </c>
      <c r="AG44" t="str">
        <f ca="1" t="shared" si="40"/>
        <v> </v>
      </c>
      <c r="AH44" t="str">
        <f ca="1" t="shared" si="40"/>
        <v> </v>
      </c>
      <c r="AI44" t="str">
        <f ca="1" t="shared" si="40"/>
        <v> </v>
      </c>
      <c r="AJ44" t="str">
        <f ca="1" t="shared" si="40"/>
        <v> </v>
      </c>
      <c r="AK44" t="str">
        <f ca="1" t="shared" si="40"/>
        <v> </v>
      </c>
      <c r="AL44" t="str">
        <f ca="1" t="shared" si="40"/>
        <v> </v>
      </c>
      <c r="AM44" t="str">
        <f ca="1" t="shared" si="40"/>
        <v> </v>
      </c>
      <c r="AN44" t="str">
        <f ca="1" t="shared" si="40"/>
        <v> </v>
      </c>
    </row>
    <row r="45" spans="28:40" ht="12.75">
      <c r="AB45">
        <v>29</v>
      </c>
      <c r="AC45" t="str">
        <f ca="1" t="shared" si="39"/>
        <v> </v>
      </c>
      <c r="AD45" t="str">
        <f ca="1" t="shared" si="40"/>
        <v> </v>
      </c>
      <c r="AE45" t="str">
        <f ca="1" t="shared" si="40"/>
        <v> </v>
      </c>
      <c r="AF45" t="str">
        <f ca="1" t="shared" si="40"/>
        <v> </v>
      </c>
      <c r="AG45" t="str">
        <f ca="1" t="shared" si="40"/>
        <v> </v>
      </c>
      <c r="AH45" t="str">
        <f ca="1" t="shared" si="40"/>
        <v> </v>
      </c>
      <c r="AI45" t="str">
        <f ca="1" t="shared" si="40"/>
        <v> </v>
      </c>
      <c r="AJ45" t="str">
        <f ca="1" t="shared" si="40"/>
        <v> </v>
      </c>
      <c r="AK45" t="str">
        <f ca="1" t="shared" si="40"/>
        <v> </v>
      </c>
      <c r="AL45" t="str">
        <f ca="1" t="shared" si="40"/>
        <v> </v>
      </c>
      <c r="AM45" t="str">
        <f ca="1" t="shared" si="40"/>
        <v> </v>
      </c>
      <c r="AN45" t="str">
        <f ca="1" t="shared" si="40"/>
        <v> </v>
      </c>
    </row>
    <row r="46" spans="28:40" ht="12.75">
      <c r="AB46">
        <v>30</v>
      </c>
      <c r="AC46" t="str">
        <f ca="1" t="shared" si="39"/>
        <v> </v>
      </c>
      <c r="AD46" t="str">
        <f ca="1" t="shared" si="40"/>
        <v> </v>
      </c>
      <c r="AE46" t="str">
        <f ca="1" t="shared" si="40"/>
        <v> </v>
      </c>
      <c r="AF46" t="str">
        <f ca="1" t="shared" si="40"/>
        <v> </v>
      </c>
      <c r="AG46" t="str">
        <f ca="1" t="shared" si="40"/>
        <v> </v>
      </c>
      <c r="AH46" t="str">
        <f ca="1" t="shared" si="40"/>
        <v> </v>
      </c>
      <c r="AI46" t="str">
        <f ca="1" t="shared" si="40"/>
        <v> </v>
      </c>
      <c r="AJ46" t="str">
        <f ca="1" t="shared" si="40"/>
        <v> </v>
      </c>
      <c r="AK46" t="str">
        <f ca="1" t="shared" si="40"/>
        <v> </v>
      </c>
      <c r="AL46" t="str">
        <f ca="1" t="shared" si="40"/>
        <v> </v>
      </c>
      <c r="AM46" t="str">
        <f ca="1" t="shared" si="40"/>
        <v> </v>
      </c>
      <c r="AN46" t="str">
        <f ca="1" t="shared" si="40"/>
        <v> </v>
      </c>
    </row>
    <row r="47" spans="28:40" ht="12.75">
      <c r="AB47">
        <v>31</v>
      </c>
      <c r="AC47" t="str">
        <f ca="1" t="shared" si="39"/>
        <v> </v>
      </c>
      <c r="AD47" t="str">
        <f ca="1" t="shared" si="40"/>
        <v> </v>
      </c>
      <c r="AE47" t="str">
        <f ca="1" t="shared" si="40"/>
        <v> </v>
      </c>
      <c r="AF47" t="str">
        <f ca="1" t="shared" si="40"/>
        <v> </v>
      </c>
      <c r="AG47" t="str">
        <f ca="1" t="shared" si="40"/>
        <v> </v>
      </c>
      <c r="AH47" t="str">
        <f ca="1" t="shared" si="40"/>
        <v> </v>
      </c>
      <c r="AI47" t="str">
        <f ca="1" t="shared" si="40"/>
        <v> </v>
      </c>
      <c r="AJ47" t="str">
        <f ca="1" t="shared" si="40"/>
        <v> </v>
      </c>
      <c r="AK47" t="str">
        <f ca="1" t="shared" si="40"/>
        <v> </v>
      </c>
      <c r="AL47" t="str">
        <f ca="1" t="shared" si="40"/>
        <v> </v>
      </c>
      <c r="AM47" t="str">
        <f ca="1" t="shared" si="40"/>
        <v> </v>
      </c>
      <c r="AN47" t="str">
        <f ca="1" t="shared" si="40"/>
        <v> </v>
      </c>
    </row>
    <row r="48" spans="28:40" ht="12.75">
      <c r="AB48">
        <v>32</v>
      </c>
      <c r="AC48" t="str">
        <f ca="1" t="shared" si="39"/>
        <v> </v>
      </c>
      <c r="AD48" t="str">
        <f ca="1" t="shared" si="40"/>
        <v> </v>
      </c>
      <c r="AE48" t="str">
        <f ca="1" t="shared" si="40"/>
        <v> </v>
      </c>
      <c r="AF48" t="str">
        <f ca="1" t="shared" si="40"/>
        <v> </v>
      </c>
      <c r="AG48" t="str">
        <f ca="1" t="shared" si="40"/>
        <v> </v>
      </c>
      <c r="AH48" t="str">
        <f ca="1" t="shared" si="40"/>
        <v> </v>
      </c>
      <c r="AI48" t="str">
        <f ca="1" t="shared" si="40"/>
        <v> </v>
      </c>
      <c r="AJ48" t="str">
        <f ca="1" t="shared" si="40"/>
        <v> </v>
      </c>
      <c r="AK48" t="str">
        <f ca="1" t="shared" si="40"/>
        <v> </v>
      </c>
      <c r="AL48" t="str">
        <f ca="1" t="shared" si="40"/>
        <v> </v>
      </c>
      <c r="AM48" t="str">
        <f ca="1" t="shared" si="40"/>
        <v> </v>
      </c>
      <c r="AN48" t="str">
        <f ca="1" t="shared" si="40"/>
        <v> </v>
      </c>
    </row>
    <row r="49" spans="28:40" ht="12.75">
      <c r="AB49">
        <v>33</v>
      </c>
      <c r="AC49" t="str">
        <f ca="1" t="shared" si="39"/>
        <v> </v>
      </c>
      <c r="AD49" t="str">
        <f ca="1" t="shared" si="40"/>
        <v> </v>
      </c>
      <c r="AE49" t="str">
        <f ca="1" t="shared" si="40"/>
        <v> </v>
      </c>
      <c r="AF49" t="str">
        <f ca="1" t="shared" si="40"/>
        <v> </v>
      </c>
      <c r="AG49" t="str">
        <f ca="1" t="shared" si="40"/>
        <v> </v>
      </c>
      <c r="AH49" t="str">
        <f ca="1" t="shared" si="40"/>
        <v> </v>
      </c>
      <c r="AI49" t="str">
        <f ca="1" t="shared" si="40"/>
        <v> </v>
      </c>
      <c r="AJ49" t="str">
        <f ca="1" t="shared" si="40"/>
        <v> </v>
      </c>
      <c r="AK49" t="str">
        <f ca="1" t="shared" si="40"/>
        <v> </v>
      </c>
      <c r="AL49" t="str">
        <f ca="1" t="shared" si="40"/>
        <v> </v>
      </c>
      <c r="AM49" t="str">
        <f ca="1" t="shared" si="40"/>
        <v> </v>
      </c>
      <c r="AN49" t="str">
        <f ca="1" t="shared" si="40"/>
        <v> </v>
      </c>
    </row>
    <row r="50" spans="28:40" ht="12.75">
      <c r="AB50">
        <v>34</v>
      </c>
      <c r="AC50" t="str">
        <f ca="1" t="shared" si="39"/>
        <v> </v>
      </c>
      <c r="AD50" t="str">
        <f ca="1" t="shared" si="40"/>
        <v> </v>
      </c>
      <c r="AE50" t="str">
        <f ca="1" t="shared" si="40"/>
        <v> </v>
      </c>
      <c r="AF50" t="str">
        <f ca="1" t="shared" si="40"/>
        <v> </v>
      </c>
      <c r="AG50" t="str">
        <f ca="1" t="shared" si="40"/>
        <v> </v>
      </c>
      <c r="AH50" t="str">
        <f ca="1" t="shared" si="40"/>
        <v> </v>
      </c>
      <c r="AI50" t="str">
        <f ca="1" t="shared" si="40"/>
        <v> </v>
      </c>
      <c r="AJ50" t="str">
        <f ca="1" t="shared" si="40"/>
        <v> </v>
      </c>
      <c r="AK50" t="str">
        <f ca="1" t="shared" si="40"/>
        <v> </v>
      </c>
      <c r="AL50" t="str">
        <f ca="1" t="shared" si="40"/>
        <v> </v>
      </c>
      <c r="AM50" t="str">
        <f ca="1" t="shared" si="40"/>
        <v> </v>
      </c>
      <c r="AN50" t="str">
        <f ca="1" t="shared" si="40"/>
        <v> </v>
      </c>
    </row>
  </sheetData>
  <conditionalFormatting sqref="C34 P34:R34 C16 P16:R16">
    <cfRule type="expression" priority="1" dxfId="0" stopIfTrue="1">
      <formula>$C$34="spielfrei"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CD33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4.28125" style="0" customWidth="1"/>
    <col min="3" max="3" width="20.7109375" style="0" customWidth="1"/>
    <col min="4" max="4" width="4.28125" style="0" customWidth="1"/>
    <col min="5" max="5" width="10.7109375" style="0" customWidth="1"/>
    <col min="6" max="6" width="11.28125" style="0" customWidth="1"/>
    <col min="7" max="7" width="5.140625" style="0" customWidth="1"/>
    <col min="8" max="8" width="5.140625" style="0" hidden="1" customWidth="1"/>
    <col min="9" max="9" width="4.28125" style="0" hidden="1" customWidth="1"/>
    <col min="10" max="10" width="20.7109375" style="0" hidden="1" customWidth="1"/>
    <col min="11" max="11" width="4.28125" style="0" hidden="1" customWidth="1"/>
    <col min="12" max="13" width="10.7109375" style="0" hidden="1" customWidth="1"/>
    <col min="14" max="14" width="11.421875" style="0" hidden="1" customWidth="1"/>
    <col min="15" max="15" width="3.7109375" style="0" hidden="1" customWidth="1"/>
    <col min="16" max="16" width="11.140625" style="0" hidden="1" customWidth="1"/>
    <col min="17" max="19" width="11.421875" style="0" hidden="1" customWidth="1"/>
    <col min="20" max="20" width="4.421875" style="1" hidden="1" customWidth="1"/>
    <col min="21" max="26" width="11.421875" style="0" hidden="1" customWidth="1"/>
    <col min="27" max="27" width="17.57421875" style="0" hidden="1" customWidth="1"/>
    <col min="28" max="29" width="6.7109375" style="1" hidden="1" customWidth="1"/>
    <col min="30" max="73" width="8.7109375" style="0" hidden="1" customWidth="1"/>
    <col min="74" max="82" width="11.421875" style="0" hidden="1" customWidth="1"/>
  </cols>
  <sheetData>
    <row r="1" spans="2:82" ht="24.75" customHeight="1">
      <c r="B1" s="75" t="str">
        <f>Eingabe!$G$3</f>
        <v>z. B. Monatsblitzturnier</v>
      </c>
      <c r="C1" s="12"/>
      <c r="D1" s="12"/>
      <c r="E1" s="12"/>
      <c r="F1" s="12"/>
      <c r="BV1" s="135" t="s">
        <v>50</v>
      </c>
      <c r="BW1" s="136" t="s">
        <v>51</v>
      </c>
      <c r="BX1" s="136" t="s">
        <v>52</v>
      </c>
      <c r="BY1" s="136" t="s">
        <v>53</v>
      </c>
      <c r="BZ1" s="136" t="s">
        <v>54</v>
      </c>
      <c r="CA1" s="136" t="s">
        <v>55</v>
      </c>
      <c r="CB1" s="86" t="s">
        <v>56</v>
      </c>
      <c r="CC1" s="137"/>
      <c r="CD1" s="144"/>
    </row>
    <row r="2" spans="2:82" ht="19.5" customHeight="1" thickBot="1">
      <c r="B2" s="36"/>
      <c r="C2" s="36"/>
      <c r="D2" s="50"/>
      <c r="E2" s="50" t="s">
        <v>14</v>
      </c>
      <c r="F2" s="113" t="str">
        <f>Eingabe!G2</f>
        <v>??.??.????</v>
      </c>
      <c r="I2" s="2"/>
      <c r="J2" s="2"/>
      <c r="K2" s="2"/>
      <c r="L2" s="2"/>
      <c r="M2" s="2"/>
      <c r="AD2" s="172" t="s">
        <v>57</v>
      </c>
      <c r="AE2" s="173"/>
      <c r="AF2" s="173"/>
      <c r="AG2" s="173"/>
      <c r="AH2" s="173"/>
      <c r="AI2" s="173"/>
      <c r="AJ2" s="173"/>
      <c r="AK2" s="173"/>
      <c r="AL2" s="173"/>
      <c r="AM2" s="173"/>
      <c r="AN2" s="174"/>
      <c r="AO2" s="172" t="s">
        <v>58</v>
      </c>
      <c r="AP2" s="173"/>
      <c r="AQ2" s="173"/>
      <c r="AR2" s="173"/>
      <c r="AS2" s="173"/>
      <c r="AT2" s="173"/>
      <c r="AU2" s="173"/>
      <c r="AV2" s="173"/>
      <c r="AW2" s="173"/>
      <c r="AX2" s="173"/>
      <c r="AY2" s="174"/>
      <c r="AZ2" s="172" t="s">
        <v>59</v>
      </c>
      <c r="BA2" s="173"/>
      <c r="BB2" s="173"/>
      <c r="BC2" s="173"/>
      <c r="BD2" s="173"/>
      <c r="BE2" s="173"/>
      <c r="BF2" s="173"/>
      <c r="BG2" s="173"/>
      <c r="BH2" s="173"/>
      <c r="BI2" s="173"/>
      <c r="BJ2" s="174"/>
      <c r="BK2" s="172" t="s">
        <v>60</v>
      </c>
      <c r="BL2" s="173"/>
      <c r="BM2" s="173"/>
      <c r="BN2" s="173"/>
      <c r="BO2" s="173"/>
      <c r="BP2" s="173"/>
      <c r="BQ2" s="173"/>
      <c r="BR2" s="173"/>
      <c r="BS2" s="173"/>
      <c r="BT2" s="173"/>
      <c r="BU2" s="174"/>
      <c r="BV2" s="138" t="s">
        <v>61</v>
      </c>
      <c r="BW2" s="139" t="s">
        <v>62</v>
      </c>
      <c r="BX2" s="140" t="s">
        <v>63</v>
      </c>
      <c r="BY2" s="140" t="s">
        <v>64</v>
      </c>
      <c r="BZ2" s="140" t="s">
        <v>65</v>
      </c>
      <c r="CA2" s="140" t="s">
        <v>66</v>
      </c>
      <c r="CB2" s="140" t="s">
        <v>67</v>
      </c>
      <c r="CC2" s="140" t="s">
        <v>68</v>
      </c>
      <c r="CD2" s="144"/>
    </row>
    <row r="3" spans="2:82" ht="19.5" customHeight="1">
      <c r="B3" s="37"/>
      <c r="C3" s="77" t="s">
        <v>32</v>
      </c>
      <c r="D3" s="39"/>
      <c r="E3" s="39"/>
      <c r="F3" s="40"/>
      <c r="I3" s="37"/>
      <c r="J3" s="38"/>
      <c r="K3" s="39"/>
      <c r="L3" s="39"/>
      <c r="M3" s="40"/>
      <c r="O3" s="1"/>
      <c r="P3" s="1"/>
      <c r="AA3" s="141" t="s">
        <v>46</v>
      </c>
      <c r="AB3" s="142" t="s">
        <v>48</v>
      </c>
      <c r="AC3" s="142" t="s">
        <v>47</v>
      </c>
      <c r="AD3" s="143" t="s">
        <v>15</v>
      </c>
      <c r="AE3" s="3" t="s">
        <v>16</v>
      </c>
      <c r="AF3" s="3" t="s">
        <v>17</v>
      </c>
      <c r="AG3" s="3" t="s">
        <v>19</v>
      </c>
      <c r="AH3" s="3" t="s">
        <v>20</v>
      </c>
      <c r="AI3" s="3" t="s">
        <v>21</v>
      </c>
      <c r="AJ3" s="3" t="s">
        <v>22</v>
      </c>
      <c r="AK3" s="3" t="s">
        <v>23</v>
      </c>
      <c r="AL3" s="3" t="s">
        <v>24</v>
      </c>
      <c r="AM3" s="3" t="s">
        <v>25</v>
      </c>
      <c r="AN3" s="3" t="s">
        <v>26</v>
      </c>
      <c r="AO3" s="143" t="s">
        <v>15</v>
      </c>
      <c r="AP3" s="3" t="s">
        <v>16</v>
      </c>
      <c r="AQ3" s="3" t="s">
        <v>17</v>
      </c>
      <c r="AR3" s="3" t="s">
        <v>19</v>
      </c>
      <c r="AS3" s="3" t="s">
        <v>20</v>
      </c>
      <c r="AT3" s="3" t="s">
        <v>21</v>
      </c>
      <c r="AU3" s="3" t="s">
        <v>22</v>
      </c>
      <c r="AV3" s="3" t="s">
        <v>23</v>
      </c>
      <c r="AW3" s="3" t="s">
        <v>24</v>
      </c>
      <c r="AX3" s="3" t="s">
        <v>25</v>
      </c>
      <c r="AY3" s="3" t="s">
        <v>26</v>
      </c>
      <c r="AZ3" s="143" t="s">
        <v>15</v>
      </c>
      <c r="BA3" s="3" t="s">
        <v>16</v>
      </c>
      <c r="BB3" s="3" t="s">
        <v>17</v>
      </c>
      <c r="BC3" s="3" t="s">
        <v>19</v>
      </c>
      <c r="BD3" s="3" t="s">
        <v>20</v>
      </c>
      <c r="BE3" s="3" t="s">
        <v>21</v>
      </c>
      <c r="BF3" s="3" t="s">
        <v>22</v>
      </c>
      <c r="BG3" s="3" t="s">
        <v>23</v>
      </c>
      <c r="BH3" s="3" t="s">
        <v>24</v>
      </c>
      <c r="BI3" s="3" t="s">
        <v>25</v>
      </c>
      <c r="BJ3" s="3" t="s">
        <v>26</v>
      </c>
      <c r="BK3" s="143" t="s">
        <v>15</v>
      </c>
      <c r="BL3" s="3" t="s">
        <v>16</v>
      </c>
      <c r="BM3" s="3" t="s">
        <v>17</v>
      </c>
      <c r="BN3" s="3" t="s">
        <v>19</v>
      </c>
      <c r="BO3" s="3" t="s">
        <v>20</v>
      </c>
      <c r="BP3" s="3" t="s">
        <v>21</v>
      </c>
      <c r="BQ3" s="3" t="s">
        <v>22</v>
      </c>
      <c r="BR3" s="3" t="s">
        <v>23</v>
      </c>
      <c r="BS3" s="3" t="s">
        <v>24</v>
      </c>
      <c r="BT3" s="3" t="s">
        <v>25</v>
      </c>
      <c r="BU3" s="3" t="s">
        <v>26</v>
      </c>
      <c r="BV3" s="144"/>
      <c r="CD3" s="144"/>
    </row>
    <row r="4" spans="2:82" ht="19.5" customHeight="1">
      <c r="B4" s="41"/>
      <c r="C4" s="78" t="str">
        <f>J4</f>
        <v>Stand nach der 0. Runde</v>
      </c>
      <c r="D4" s="42"/>
      <c r="E4" s="53" t="s">
        <v>30</v>
      </c>
      <c r="F4" s="52" t="s">
        <v>29</v>
      </c>
      <c r="I4" s="41"/>
      <c r="J4" s="36" t="str">
        <f>IF(EXACT("spielfrei",Eingabe!G7)=TRUE,Q4,R4)</f>
        <v>Stand nach der 0. Runde</v>
      </c>
      <c r="K4" s="42"/>
      <c r="L4" s="53" t="s">
        <v>30</v>
      </c>
      <c r="M4" s="52" t="s">
        <v>29</v>
      </c>
      <c r="O4" s="30">
        <f>IF(SUM(K5:K15)=110,1,0)</f>
        <v>0</v>
      </c>
      <c r="P4" s="30"/>
      <c r="Q4" s="79" t="str">
        <f>IF((SUM(K5:K15))/10=MAX(K5:K15)+O4,"Stand nach der "&amp;(MAX(K5:K15)+O4)&amp;". Runde","")</f>
        <v>Stand nach der 0. Runde</v>
      </c>
      <c r="R4" s="79" t="str">
        <f>IF((SUM(K5:K16))/12=MAX(K5:K16),"Stand nach der "&amp;MAX(K5:K16)&amp;". Runde","")</f>
        <v>Stand nach der 0. Runde</v>
      </c>
      <c r="AA4" t="str">
        <f>Eingabe!C6</f>
        <v>Spieler 1</v>
      </c>
      <c r="AB4" s="1">
        <f>IF(Eingabe!E6=" ",0,Eingabe!E6)</f>
        <v>0</v>
      </c>
      <c r="AC4" s="1">
        <f>IF(Eingabe!D6=5,5,IF(Eingabe!D6=10,10,15))</f>
        <v>15</v>
      </c>
      <c r="AD4" s="143">
        <f>$AB$15</f>
        <v>0</v>
      </c>
      <c r="AE4" s="3">
        <f>$AB$13</f>
        <v>0</v>
      </c>
      <c r="AF4" s="3">
        <f>$AB$11</f>
        <v>0</v>
      </c>
      <c r="AG4" s="3">
        <f>$AB$9</f>
        <v>0</v>
      </c>
      <c r="AH4" s="3">
        <f>$AB$7</f>
        <v>0</v>
      </c>
      <c r="AI4" s="3">
        <f>$AB$5</f>
        <v>0</v>
      </c>
      <c r="AJ4" s="3">
        <f>$AB$14</f>
        <v>0</v>
      </c>
      <c r="AK4" s="3">
        <f>$AB$12</f>
        <v>0</v>
      </c>
      <c r="AL4" s="3">
        <f>$AB$10</f>
        <v>0</v>
      </c>
      <c r="AM4" s="3">
        <f>$AB$8</f>
        <v>0</v>
      </c>
      <c r="AN4" s="3">
        <f>$AB$6</f>
        <v>0</v>
      </c>
      <c r="AO4" s="143" t="str">
        <f>'12 Spieler'!$G$12</f>
        <v> </v>
      </c>
      <c r="AP4" s="3" t="str">
        <f>'12 Spieler'!$Q$13</f>
        <v> </v>
      </c>
      <c r="AQ4" s="3" t="str">
        <f>'12 Spieler'!$Y$14</f>
        <v> </v>
      </c>
      <c r="AR4" s="3" t="str">
        <f>'12 Spieler'!$I$25</f>
        <v> </v>
      </c>
      <c r="AS4" s="3" t="str">
        <f>'12 Spieler'!$Q$26</f>
        <v> </v>
      </c>
      <c r="AT4" s="3" t="str">
        <f>'12 Spieler'!$Y$27</f>
        <v> </v>
      </c>
      <c r="AU4" s="3" t="str">
        <f>'12 Spieler'!$G$37</f>
        <v> </v>
      </c>
      <c r="AV4" s="3" t="str">
        <f>'12 Spieler'!$O$36</f>
        <v> </v>
      </c>
      <c r="AW4" s="3" t="str">
        <f>'12 Spieler'!$W$35</f>
        <v> </v>
      </c>
      <c r="AX4" s="3" t="str">
        <f>'12 Spieler'!$G$44</f>
        <v> </v>
      </c>
      <c r="AY4" s="3" t="str">
        <f>'12 Spieler'!$O$43</f>
        <v> </v>
      </c>
      <c r="AZ4" s="143" t="str">
        <f>IF(AD4=0," ",AO4)</f>
        <v> </v>
      </c>
      <c r="BA4" s="3" t="str">
        <f aca="true" t="shared" si="0" ref="BA4:BA15">IF(AE4=0," ",AP4)</f>
        <v> </v>
      </c>
      <c r="BB4" s="3" t="str">
        <f aca="true" t="shared" si="1" ref="BB4:BB15">IF(AF4=0," ",AQ4)</f>
        <v> </v>
      </c>
      <c r="BC4" s="3" t="str">
        <f aca="true" t="shared" si="2" ref="BC4:BC15">IF(AG4=0," ",AR4)</f>
        <v> </v>
      </c>
      <c r="BD4" s="3" t="str">
        <f aca="true" t="shared" si="3" ref="BD4:BD15">IF(AH4=0," ",AS4)</f>
        <v> </v>
      </c>
      <c r="BE4" s="3" t="str">
        <f aca="true" t="shared" si="4" ref="BE4:BE15">IF(AI4=0," ",AT4)</f>
        <v> </v>
      </c>
      <c r="BF4" s="3" t="str">
        <f aca="true" t="shared" si="5" ref="BF4:BF15">IF(AJ4=0," ",AU4)</f>
        <v> </v>
      </c>
      <c r="BG4" s="3" t="str">
        <f aca="true" t="shared" si="6" ref="BG4:BG15">IF(AK4=0," ",AV4)</f>
        <v> </v>
      </c>
      <c r="BH4" s="3" t="str">
        <f aca="true" t="shared" si="7" ref="BH4:BH15">IF(AL4=0," ",AW4)</f>
        <v> </v>
      </c>
      <c r="BI4" s="3" t="str">
        <f aca="true" t="shared" si="8" ref="BI4:BI14">IF(AM4=0," ",AX4)</f>
        <v> </v>
      </c>
      <c r="BJ4" s="3" t="str">
        <f aca="true" t="shared" si="9" ref="BJ4:BJ15">IF(AN4=0," ",AY4)</f>
        <v> </v>
      </c>
      <c r="BK4" s="145">
        <f>IF(AZ4=" ",0,ROUND(1/(1+(POWER(10,(-1*($AB4-AD4)/400)))),3))</f>
        <v>0</v>
      </c>
      <c r="BL4" s="146">
        <f aca="true" t="shared" si="10" ref="BL4:BL15">IF(BA4=" ",0,ROUND(1/(1+(POWER(10,(-1*($AB4-AE4)/400)))),3))</f>
        <v>0</v>
      </c>
      <c r="BM4" s="146">
        <f aca="true" t="shared" si="11" ref="BM4:BM15">IF(BB4=" ",0,ROUND(1/(1+(POWER(10,(-1*($AB4-AF4)/400)))),3))</f>
        <v>0</v>
      </c>
      <c r="BN4" s="146">
        <f aca="true" t="shared" si="12" ref="BN4:BN15">IF(BC4=" ",0,ROUND(1/(1+(POWER(10,(-1*($AB4-AG4)/400)))),3))</f>
        <v>0</v>
      </c>
      <c r="BO4" s="146">
        <f aca="true" t="shared" si="13" ref="BO4:BO15">IF(BD4=" ",0,ROUND(1/(1+(POWER(10,(-1*($AB4-AH4)/400)))),3))</f>
        <v>0</v>
      </c>
      <c r="BP4" s="146">
        <f aca="true" t="shared" si="14" ref="BP4:BP15">IF(BE4=" ",0,ROUND(1/(1+(POWER(10,(-1*($AB4-AI4)/400)))),3))</f>
        <v>0</v>
      </c>
      <c r="BQ4" s="146">
        <f aca="true" t="shared" si="15" ref="BQ4:BQ15">IF(BF4=" ",0,ROUND(1/(1+(POWER(10,(-1*($AB4-AJ4)/400)))),3))</f>
        <v>0</v>
      </c>
      <c r="BR4" s="146">
        <f aca="true" t="shared" si="16" ref="BR4:BR15">IF(BG4=" ",0,ROUND(1/(1+(POWER(10,(-1*($AB4-AK4)/400)))),3))</f>
        <v>0</v>
      </c>
      <c r="BS4" s="146">
        <f aca="true" t="shared" si="17" ref="BS4:BS15">IF(BH4=" ",0,ROUND(1/(1+(POWER(10,(-1*($AB4-AL4)/400)))),3))</f>
        <v>0</v>
      </c>
      <c r="BT4" s="146">
        <f aca="true" t="shared" si="18" ref="BT4:BT15">IF(BI4=" ",0,ROUND(1/(1+(POWER(10,(-1*($AB4-AM4)/400)))),3))</f>
        <v>0</v>
      </c>
      <c r="BU4" s="146">
        <f aca="true" t="shared" si="19" ref="BU4:BU15">IF(BJ4=" ",0,ROUND(1/(1+(POWER(10,(-1*($AB4-AN4)/400)))),3))</f>
        <v>0</v>
      </c>
      <c r="BV4" s="147">
        <f aca="true" t="shared" si="20" ref="BV4:BV9">SUM(BK4:BU4)</f>
        <v>0</v>
      </c>
      <c r="BW4" s="1">
        <f>1*((COUNTIF(AZ4:BJ4,0))+(COUNTIF(AZ4:BJ4,0.5))+(COUNTIF(AZ4:BJ4,1)))</f>
        <v>0</v>
      </c>
      <c r="BX4" s="137">
        <f>POWER((AB4/1000),4)+AC4</f>
        <v>15</v>
      </c>
      <c r="BY4" s="137">
        <f>IF(AI4=5,IF(CB4&gt;=BV4,AH4/2000,1),1)</f>
        <v>1</v>
      </c>
      <c r="BZ4" s="137">
        <f>IF(CB4&gt;=BV4,0,IF((IF(AI4=5,IF(AH4&lt;1300,(POWER(2.71828,(1300-AH4)/150))-1,0),0))&gt;150,150,IF(AI4=5,IF(AH4&lt;1300,(POWER(2.71828,(1300-AH4)/150))-1,0),0)))</f>
        <v>0</v>
      </c>
      <c r="CA4" s="137">
        <f>IF(BZ4&gt;0,IF((ROUND((BX4*BY4)+BZ4,0))&lt;5,5,(ROUND((BX4*BY4)+BZ4,0))),IF(IF((ROUND((BX4*BY4)+BZ4,0))&lt;5,5,(ROUND((BX4*BY4)+BZ4,0)))&gt;30,30,IF((ROUND((BX4*BY4)+BZ4,0))&lt;5,5,(ROUND((BX4*BY4)+BZ4,0)))))</f>
        <v>15</v>
      </c>
      <c r="CB4" s="1">
        <f>SUM(AZ4:BJ4)</f>
        <v>0</v>
      </c>
      <c r="CC4" s="1">
        <f>IF(AB4=0,0,IF(BW4=0,AB4,ROUND(AB4+800*(CB4-BV4)/(CA4+BW4),0)))</f>
        <v>0</v>
      </c>
      <c r="CD4" s="144"/>
    </row>
    <row r="5" spans="2:82" ht="19.5" customHeight="1">
      <c r="B5" s="43" t="str">
        <f>IF(D5=0," ","1.")</f>
        <v> </v>
      </c>
      <c r="C5" s="44" t="str">
        <f>VLOOKUP($T5,$I$5:$M$16,2,FALSE)</f>
        <v>Spieler 1</v>
      </c>
      <c r="D5" s="45">
        <f>VLOOKUP($T5,$I$5:$M$16,3,FALSE)</f>
        <v>0</v>
      </c>
      <c r="E5" s="54">
        <f>VLOOKUP($T5,$I$5:$M$16,4,FALSE)</f>
      </c>
      <c r="F5" s="60" t="str">
        <f>VLOOKUP($T5,$I$5:$M$16,5,FALSE)</f>
        <v> </v>
      </c>
      <c r="I5" s="43">
        <f>RANK(N5,$N$5:$N$16,0)</f>
        <v>1</v>
      </c>
      <c r="J5" s="44" t="str">
        <f>'Kreuztabelle 12'!C23</f>
        <v>Spieler 1</v>
      </c>
      <c r="K5" s="45">
        <f>IF(COUNT('Kreuztabelle 12'!D23:'Kreuztabelle 12'!O23)&gt;0,COUNT('Kreuztabelle 12'!D23:'Kreuztabelle 12'!O23),0)</f>
        <v>0</v>
      </c>
      <c r="L5" s="54">
        <f>'Kreuztabelle 12'!Q23</f>
      </c>
      <c r="M5" s="60" t="str">
        <f>'Kreuztabelle 12'!P23</f>
        <v> </v>
      </c>
      <c r="N5">
        <f>IF(M5=" ",0.12,M5*100000+L5*1000-K5+0.12)</f>
        <v>0.12</v>
      </c>
      <c r="O5" s="62">
        <f>COUNTIF($P$5:$P$16,P5)</f>
        <v>12</v>
      </c>
      <c r="P5" s="62" t="e">
        <f>IF((D5+E5+F5)=0," ",1)</f>
        <v>#VALUE!</v>
      </c>
      <c r="Q5" s="63" t="e">
        <f>IF(O5=1,P5&amp;".",P5&amp;".- "&amp;(P5+O5-1)&amp;".")</f>
        <v>#VALUE!</v>
      </c>
      <c r="R5" s="63" t="str">
        <f aca="true" t="shared" si="21" ref="R5:R16">IF(SUM($D$5:$D$14)=0," ",Q5)</f>
        <v> </v>
      </c>
      <c r="T5" s="1">
        <v>1</v>
      </c>
      <c r="AA5" t="str">
        <f>Eingabe!C7</f>
        <v>Spieler 2</v>
      </c>
      <c r="AB5" s="1">
        <f>IF(Eingabe!E7=" ",0,Eingabe!E7)</f>
        <v>0</v>
      </c>
      <c r="AC5" s="1">
        <f>IF(Eingabe!D7=5,5,IF(Eingabe!D7=10,10,15))</f>
        <v>15</v>
      </c>
      <c r="AD5" s="143">
        <f>$AB$14</f>
        <v>0</v>
      </c>
      <c r="AE5" s="3">
        <f>$AB$12</f>
        <v>0</v>
      </c>
      <c r="AF5" s="3">
        <f>$AB$10</f>
        <v>0</v>
      </c>
      <c r="AG5" s="3">
        <f>$AB$8</f>
        <v>0</v>
      </c>
      <c r="AH5" s="3">
        <f>$AB$6</f>
        <v>0</v>
      </c>
      <c r="AI5" s="3">
        <f>$AB$4</f>
        <v>0</v>
      </c>
      <c r="AJ5" s="3">
        <f>$AB$13</f>
        <v>0</v>
      </c>
      <c r="AK5" s="3">
        <f>$AB$11</f>
        <v>0</v>
      </c>
      <c r="AL5" s="3">
        <f>$AB$9</f>
        <v>0</v>
      </c>
      <c r="AM5" s="3">
        <f>$AB$7</f>
        <v>0</v>
      </c>
      <c r="AN5" s="3">
        <f>$AB$15</f>
        <v>0</v>
      </c>
      <c r="AO5" s="143" t="str">
        <f>'12 Spieler'!$I$13</f>
        <v> </v>
      </c>
      <c r="AP5" s="3" t="str">
        <f>'12 Spieler'!$Q$14</f>
        <v> </v>
      </c>
      <c r="AQ5" s="3" t="str">
        <f>'12 Spieler'!$Y$15</f>
        <v> </v>
      </c>
      <c r="AR5" s="3" t="str">
        <f>'12 Spieler'!$I$26</f>
        <v> </v>
      </c>
      <c r="AS5" s="3" t="str">
        <f>'12 Spieler'!$Q$27</f>
        <v> </v>
      </c>
      <c r="AT5" s="3" t="str">
        <f>'12 Spieler'!$W$27</f>
        <v> </v>
      </c>
      <c r="AU5" s="3" t="str">
        <f>'12 Spieler'!$G$36</f>
        <v> </v>
      </c>
      <c r="AV5" s="3" t="str">
        <f>'12 Spieler'!$O$35</f>
        <v> </v>
      </c>
      <c r="AW5" s="3" t="str">
        <f>'12 Spieler'!$W$34</f>
        <v> </v>
      </c>
      <c r="AX5" s="3" t="str">
        <f>'12 Spieler'!$G$43</f>
        <v> </v>
      </c>
      <c r="AY5" s="3" t="str">
        <f>'12 Spieler'!$O$42</f>
        <v> </v>
      </c>
      <c r="AZ5" s="143" t="str">
        <f aca="true" t="shared" si="22" ref="AZ5:AZ15">IF(AD5=0," ",AO5)</f>
        <v> </v>
      </c>
      <c r="BA5" s="3" t="str">
        <f t="shared" si="0"/>
        <v> </v>
      </c>
      <c r="BB5" s="3" t="str">
        <f t="shared" si="1"/>
        <v> </v>
      </c>
      <c r="BC5" s="3" t="str">
        <f t="shared" si="2"/>
        <v> </v>
      </c>
      <c r="BD5" s="3" t="str">
        <f t="shared" si="3"/>
        <v> </v>
      </c>
      <c r="BE5" s="3" t="str">
        <f t="shared" si="4"/>
        <v> </v>
      </c>
      <c r="BF5" s="3" t="str">
        <f t="shared" si="5"/>
        <v> </v>
      </c>
      <c r="BG5" s="3" t="str">
        <f t="shared" si="6"/>
        <v> </v>
      </c>
      <c r="BH5" s="3" t="str">
        <f t="shared" si="7"/>
        <v> </v>
      </c>
      <c r="BI5" s="3" t="str">
        <f t="shared" si="8"/>
        <v> </v>
      </c>
      <c r="BJ5" s="3" t="str">
        <f t="shared" si="9"/>
        <v> </v>
      </c>
      <c r="BK5" s="145">
        <f aca="true" t="shared" si="23" ref="BK5:BK15">IF(AZ5=" ",0,ROUND(1/(1+(POWER(10,(-1*($AB5-AD5)/400)))),3))</f>
        <v>0</v>
      </c>
      <c r="BL5" s="146">
        <f t="shared" si="10"/>
        <v>0</v>
      </c>
      <c r="BM5" s="146">
        <f t="shared" si="11"/>
        <v>0</v>
      </c>
      <c r="BN5" s="146">
        <f t="shared" si="12"/>
        <v>0</v>
      </c>
      <c r="BO5" s="146">
        <f t="shared" si="13"/>
        <v>0</v>
      </c>
      <c r="BP5" s="146">
        <f t="shared" si="14"/>
        <v>0</v>
      </c>
      <c r="BQ5" s="146">
        <f t="shared" si="15"/>
        <v>0</v>
      </c>
      <c r="BR5" s="146">
        <f t="shared" si="16"/>
        <v>0</v>
      </c>
      <c r="BS5" s="146">
        <f t="shared" si="17"/>
        <v>0</v>
      </c>
      <c r="BT5" s="146">
        <f t="shared" si="18"/>
        <v>0</v>
      </c>
      <c r="BU5" s="146">
        <f t="shared" si="19"/>
        <v>0</v>
      </c>
      <c r="BV5" s="147">
        <f t="shared" si="20"/>
        <v>0</v>
      </c>
      <c r="BW5" s="1">
        <f aca="true" t="shared" si="24" ref="BW5:BW15">1*((COUNTIF(AZ5:BJ5,0))+(COUNTIF(AZ5:BJ5,0.5))+(COUNTIF(AZ5:BJ5,1)))</f>
        <v>0</v>
      </c>
      <c r="BX5" s="137">
        <f aca="true" t="shared" si="25" ref="BX5:BX13">POWER((AB5/1000),4)+AC5</f>
        <v>15</v>
      </c>
      <c r="BY5" s="137">
        <f aca="true" t="shared" si="26" ref="BY5:BY11">IF(AI5=5,IF(CB5&gt;=BV5,AH5/2000,1),1)</f>
        <v>1</v>
      </c>
      <c r="BZ5" s="137">
        <f aca="true" t="shared" si="27" ref="BZ5:BZ11">IF(CB5&gt;=BV5,0,IF((IF(AI5=5,IF(AH5&lt;1300,(POWER(2.71828,(1300-AH5)/150))-1,0),0))&gt;150,150,IF(AI5=5,IF(AH5&lt;1300,(POWER(2.71828,(1300-AH5)/150))-1,0),0)))</f>
        <v>0</v>
      </c>
      <c r="CA5" s="137">
        <f aca="true" t="shared" si="28" ref="CA5:CA15">IF(BZ5&gt;0,IF((ROUND((BX5*BY5)+BZ5,0))&lt;5,5,(ROUND((BX5*BY5)+BZ5,0))),IF(IF((ROUND((BX5*BY5)+BZ5,0))&lt;5,5,(ROUND((BX5*BY5)+BZ5,0)))&gt;30,30,IF((ROUND((BX5*BY5)+BZ5,0))&lt;5,5,(ROUND((BX5*BY5)+BZ5,0)))))</f>
        <v>15</v>
      </c>
      <c r="CB5" s="1">
        <f aca="true" t="shared" si="29" ref="CB5:CB15">SUM(AZ5:BJ5)</f>
        <v>0</v>
      </c>
      <c r="CC5" s="1">
        <f aca="true" t="shared" si="30" ref="CC5:CC13">IF(AB5=0,0,IF(BW5=0,AB5,ROUND(AB5+800*(CB5-BV5)/(CA5+BW5),0)))</f>
        <v>0</v>
      </c>
      <c r="CD5" s="144"/>
    </row>
    <row r="6" spans="2:82" ht="19.5" customHeight="1">
      <c r="B6" s="43">
        <f>IF(AND(D5=D6,E5=E6,F5=F6),"","2.")</f>
      </c>
      <c r="C6" s="44" t="str">
        <f aca="true" t="shared" si="31" ref="C6:C16">VLOOKUP($T6,$I$5:$M$16,2,FALSE)</f>
        <v>Spieler 2</v>
      </c>
      <c r="D6" s="45">
        <f aca="true" t="shared" si="32" ref="D6:D16">VLOOKUP($T6,$I$5:$M$16,3,FALSE)</f>
        <v>0</v>
      </c>
      <c r="E6" s="54">
        <f aca="true" t="shared" si="33" ref="E6:E16">VLOOKUP($T6,$I$5:$M$16,4,FALSE)</f>
      </c>
      <c r="F6" s="60" t="str">
        <f aca="true" t="shared" si="34" ref="F6:F16">VLOOKUP($T6,$I$5:$M$16,5,FALSE)</f>
        <v> </v>
      </c>
      <c r="I6" s="43">
        <f aca="true" t="shared" si="35" ref="I6:I16">RANK(N6,$N$5:$N$16,0)</f>
        <v>2</v>
      </c>
      <c r="J6" s="44" t="str">
        <f>'Kreuztabelle 12'!C24</f>
        <v>Spieler 2</v>
      </c>
      <c r="K6" s="45">
        <f>IF(COUNT('Kreuztabelle 12'!D24:'Kreuztabelle 12'!O24)&gt;0,COUNT('Kreuztabelle 12'!D24:'Kreuztabelle 12'!O24),0)</f>
        <v>0</v>
      </c>
      <c r="L6" s="54">
        <f>'Kreuztabelle 12'!Q24</f>
      </c>
      <c r="M6" s="60" t="str">
        <f>'Kreuztabelle 12'!P24</f>
        <v> </v>
      </c>
      <c r="N6">
        <f>IF(M6=" ",0.11,M6*100000+L6*1000-K6+0.11)</f>
        <v>0.11</v>
      </c>
      <c r="O6" s="62">
        <f>COUNTIF($P$5:$P$16,P6)</f>
        <v>12</v>
      </c>
      <c r="P6" s="62" t="e">
        <f>IF(AND(D5=D6,E5=E6,F5=F6),P5,2)</f>
        <v>#VALUE!</v>
      </c>
      <c r="Q6" s="63" t="e">
        <f aca="true" t="shared" si="36" ref="Q6:Q15">IF(O6=1,P6&amp;".",P6&amp;".- "&amp;(P6+O6-1)&amp;".")</f>
        <v>#VALUE!</v>
      </c>
      <c r="R6" s="63" t="str">
        <f t="shared" si="21"/>
        <v> </v>
      </c>
      <c r="T6" s="1">
        <v>2</v>
      </c>
      <c r="AA6" t="str">
        <f>Eingabe!C8</f>
        <v>Spieler 3</v>
      </c>
      <c r="AB6" s="1">
        <f>IF(Eingabe!E8=" ",0,Eingabe!E8)</f>
        <v>0</v>
      </c>
      <c r="AC6" s="1">
        <f>IF(Eingabe!D8=5,5,IF(Eingabe!D8=10,10,15))</f>
        <v>15</v>
      </c>
      <c r="AD6" s="143">
        <f>$AB$13</f>
        <v>0</v>
      </c>
      <c r="AE6" s="3">
        <f>$AB$11</f>
        <v>0</v>
      </c>
      <c r="AF6" s="3">
        <f>$AB$9</f>
        <v>0</v>
      </c>
      <c r="AG6" s="3">
        <f>$AB$7</f>
        <v>0</v>
      </c>
      <c r="AH6" s="3">
        <f>$AB$5</f>
        <v>0</v>
      </c>
      <c r="AI6" s="3">
        <f>$AB$14</f>
        <v>0</v>
      </c>
      <c r="AJ6" s="3">
        <f>$AB$12</f>
        <v>0</v>
      </c>
      <c r="AK6" s="3">
        <f>$AB$10</f>
        <v>0</v>
      </c>
      <c r="AL6" s="3">
        <f>$AB$8</f>
        <v>0</v>
      </c>
      <c r="AM6" s="3">
        <f>$AB$15</f>
        <v>0</v>
      </c>
      <c r="AN6" s="3">
        <f>$AB$4</f>
        <v>0</v>
      </c>
      <c r="AO6" s="143" t="str">
        <f>'12 Spieler'!$I$14</f>
        <v> </v>
      </c>
      <c r="AP6" s="3" t="str">
        <f>'12 Spieler'!$Q$15</f>
        <v> </v>
      </c>
      <c r="AQ6" s="3" t="str">
        <f>'12 Spieler'!$Y$16</f>
        <v> </v>
      </c>
      <c r="AR6" s="3" t="str">
        <f>'12 Spieler'!$I$27</f>
        <v> </v>
      </c>
      <c r="AS6" s="3" t="str">
        <f>'12 Spieler'!$O$27</f>
        <v> </v>
      </c>
      <c r="AT6" s="3" t="str">
        <f>'12 Spieler'!$W$26</f>
        <v> </v>
      </c>
      <c r="AU6" s="3" t="str">
        <f>'12 Spieler'!$G$35</f>
        <v> </v>
      </c>
      <c r="AV6" s="3" t="str">
        <f>'12 Spieler'!$O$34</f>
        <v> </v>
      </c>
      <c r="AW6" s="3" t="str">
        <f>'12 Spieler'!$W$33</f>
        <v> </v>
      </c>
      <c r="AX6" s="3" t="str">
        <f>'12 Spieler'!$G$42</f>
        <v> </v>
      </c>
      <c r="AY6" s="3" t="str">
        <f>'12 Spieler'!$Q$43</f>
        <v> </v>
      </c>
      <c r="AZ6" s="143" t="str">
        <f t="shared" si="22"/>
        <v> </v>
      </c>
      <c r="BA6" s="3" t="str">
        <f t="shared" si="0"/>
        <v> </v>
      </c>
      <c r="BB6" s="3" t="str">
        <f t="shared" si="1"/>
        <v> </v>
      </c>
      <c r="BC6" s="3" t="str">
        <f t="shared" si="2"/>
        <v> </v>
      </c>
      <c r="BD6" s="3" t="str">
        <f t="shared" si="3"/>
        <v> </v>
      </c>
      <c r="BE6" s="3" t="str">
        <f t="shared" si="4"/>
        <v> </v>
      </c>
      <c r="BF6" s="3" t="str">
        <f t="shared" si="5"/>
        <v> </v>
      </c>
      <c r="BG6" s="3" t="str">
        <f t="shared" si="6"/>
        <v> </v>
      </c>
      <c r="BH6" s="3" t="str">
        <f t="shared" si="7"/>
        <v> </v>
      </c>
      <c r="BI6" s="3" t="str">
        <f t="shared" si="8"/>
        <v> </v>
      </c>
      <c r="BJ6" s="3" t="str">
        <f t="shared" si="9"/>
        <v> </v>
      </c>
      <c r="BK6" s="145">
        <f t="shared" si="23"/>
        <v>0</v>
      </c>
      <c r="BL6" s="146">
        <f t="shared" si="10"/>
        <v>0</v>
      </c>
      <c r="BM6" s="146">
        <f t="shared" si="11"/>
        <v>0</v>
      </c>
      <c r="BN6" s="146">
        <f t="shared" si="12"/>
        <v>0</v>
      </c>
      <c r="BO6" s="146">
        <f t="shared" si="13"/>
        <v>0</v>
      </c>
      <c r="BP6" s="146">
        <f t="shared" si="14"/>
        <v>0</v>
      </c>
      <c r="BQ6" s="146">
        <f t="shared" si="15"/>
        <v>0</v>
      </c>
      <c r="BR6" s="146">
        <f t="shared" si="16"/>
        <v>0</v>
      </c>
      <c r="BS6" s="146">
        <f t="shared" si="17"/>
        <v>0</v>
      </c>
      <c r="BT6" s="146">
        <f t="shared" si="18"/>
        <v>0</v>
      </c>
      <c r="BU6" s="146">
        <f t="shared" si="19"/>
        <v>0</v>
      </c>
      <c r="BV6" s="147">
        <f t="shared" si="20"/>
        <v>0</v>
      </c>
      <c r="BW6" s="1">
        <f t="shared" si="24"/>
        <v>0</v>
      </c>
      <c r="BX6" s="137">
        <f t="shared" si="25"/>
        <v>15</v>
      </c>
      <c r="BY6" s="137">
        <f t="shared" si="26"/>
        <v>1</v>
      </c>
      <c r="BZ6" s="137">
        <f t="shared" si="27"/>
        <v>0</v>
      </c>
      <c r="CA6" s="137">
        <f t="shared" si="28"/>
        <v>15</v>
      </c>
      <c r="CB6" s="1">
        <f t="shared" si="29"/>
        <v>0</v>
      </c>
      <c r="CC6" s="1">
        <f t="shared" si="30"/>
        <v>0</v>
      </c>
      <c r="CD6" s="144"/>
    </row>
    <row r="7" spans="2:82" ht="19.5" customHeight="1">
      <c r="B7" s="43">
        <f>IF(AND(D6=D7,E6=E7,F6=F7),"","3.")</f>
      </c>
      <c r="C7" s="44" t="str">
        <f t="shared" si="31"/>
        <v>Spieler 3</v>
      </c>
      <c r="D7" s="45">
        <f t="shared" si="32"/>
        <v>0</v>
      </c>
      <c r="E7" s="54">
        <f t="shared" si="33"/>
      </c>
      <c r="F7" s="60" t="str">
        <f t="shared" si="34"/>
        <v> </v>
      </c>
      <c r="I7" s="43">
        <f t="shared" si="35"/>
        <v>3</v>
      </c>
      <c r="J7" s="44" t="str">
        <f>'Kreuztabelle 12'!C25</f>
        <v>Spieler 3</v>
      </c>
      <c r="K7" s="45">
        <f>IF(COUNT('Kreuztabelle 12'!D25:'Kreuztabelle 12'!O25)&gt;0,COUNT('Kreuztabelle 12'!D25:'Kreuztabelle 12'!O25),0)</f>
        <v>0</v>
      </c>
      <c r="L7" s="54">
        <f>'Kreuztabelle 12'!Q25</f>
      </c>
      <c r="M7" s="60" t="str">
        <f>'Kreuztabelle 12'!P25</f>
        <v> </v>
      </c>
      <c r="N7">
        <f>IF(M7=" ",0.1,M7*100000+L7*1000-K7+0.1)</f>
        <v>0.1</v>
      </c>
      <c r="O7" s="62">
        <f>COUNTIF($P$5:$P$16,P7)</f>
        <v>12</v>
      </c>
      <c r="P7" s="62" t="e">
        <f>IF(AND(D6=D7,E6=E7,F6=F7),P6,3)</f>
        <v>#VALUE!</v>
      </c>
      <c r="Q7" s="63" t="e">
        <f t="shared" si="36"/>
        <v>#VALUE!</v>
      </c>
      <c r="R7" s="63" t="str">
        <f t="shared" si="21"/>
        <v> </v>
      </c>
      <c r="T7" s="1">
        <v>3</v>
      </c>
      <c r="AA7" t="str">
        <f>Eingabe!C9</f>
        <v>Spieler 4</v>
      </c>
      <c r="AB7" s="1">
        <f>IF(Eingabe!E9=" ",0,Eingabe!E9)</f>
        <v>0</v>
      </c>
      <c r="AC7" s="1">
        <f>IF(Eingabe!D9=5,5,IF(Eingabe!D9=10,10,15))</f>
        <v>15</v>
      </c>
      <c r="AD7" s="143">
        <f>$AB$12</f>
        <v>0</v>
      </c>
      <c r="AE7" s="3">
        <f>$AB$10</f>
        <v>0</v>
      </c>
      <c r="AF7" s="3">
        <f>$AB$8</f>
        <v>0</v>
      </c>
      <c r="AG7" s="3">
        <f>$AB$6</f>
        <v>0</v>
      </c>
      <c r="AH7" s="3">
        <f>$AB$4</f>
        <v>0</v>
      </c>
      <c r="AI7" s="3">
        <f>$AB$13</f>
        <v>0</v>
      </c>
      <c r="AJ7" s="3">
        <f>$AB$11</f>
        <v>0</v>
      </c>
      <c r="AK7" s="3">
        <f>$AB$9</f>
        <v>0</v>
      </c>
      <c r="AL7" s="3">
        <f>$AB$15</f>
        <v>0</v>
      </c>
      <c r="AM7" s="3">
        <f>$AB$5</f>
        <v>0</v>
      </c>
      <c r="AN7" s="3">
        <f>$AB$14</f>
        <v>0</v>
      </c>
      <c r="AO7" s="143" t="str">
        <f>'12 Spieler'!$I$15</f>
        <v> </v>
      </c>
      <c r="AP7" s="3" t="str">
        <f>'12 Spieler'!$Q$16</f>
        <v> </v>
      </c>
      <c r="AQ7" s="3" t="str">
        <f>'12 Spieler'!$Y$17</f>
        <v> </v>
      </c>
      <c r="AR7" s="3" t="str">
        <f>'12 Spieler'!$G$27</f>
        <v> </v>
      </c>
      <c r="AS7" s="3" t="str">
        <f>'12 Spieler'!$O$26</f>
        <v> </v>
      </c>
      <c r="AT7" s="3" t="str">
        <f>'12 Spieler'!$W$25</f>
        <v> </v>
      </c>
      <c r="AU7" s="3" t="str">
        <f>'12 Spieler'!$G$34</f>
        <v> </v>
      </c>
      <c r="AV7" s="3" t="str">
        <f>'12 Spieler'!$O$33</f>
        <v> </v>
      </c>
      <c r="AW7" s="3" t="str">
        <f>'12 Spieler'!$W$32</f>
        <v> </v>
      </c>
      <c r="AX7" s="3" t="str">
        <f>'12 Spieler'!$I$43</f>
        <v> </v>
      </c>
      <c r="AY7" s="3" t="str">
        <f>'12 Spieler'!$Q$44</f>
        <v> </v>
      </c>
      <c r="AZ7" s="143" t="str">
        <f t="shared" si="22"/>
        <v> </v>
      </c>
      <c r="BA7" s="3" t="str">
        <f t="shared" si="0"/>
        <v> </v>
      </c>
      <c r="BB7" s="3" t="str">
        <f t="shared" si="1"/>
        <v> </v>
      </c>
      <c r="BC7" s="3" t="str">
        <f t="shared" si="2"/>
        <v> </v>
      </c>
      <c r="BD7" s="3" t="str">
        <f t="shared" si="3"/>
        <v> </v>
      </c>
      <c r="BE7" s="3" t="str">
        <f t="shared" si="4"/>
        <v> </v>
      </c>
      <c r="BF7" s="3" t="str">
        <f t="shared" si="5"/>
        <v> </v>
      </c>
      <c r="BG7" s="3" t="str">
        <f t="shared" si="6"/>
        <v> </v>
      </c>
      <c r="BH7" s="3" t="str">
        <f t="shared" si="7"/>
        <v> </v>
      </c>
      <c r="BI7" s="3" t="str">
        <f t="shared" si="8"/>
        <v> </v>
      </c>
      <c r="BJ7" s="3" t="str">
        <f t="shared" si="9"/>
        <v> </v>
      </c>
      <c r="BK7" s="145">
        <f t="shared" si="23"/>
        <v>0</v>
      </c>
      <c r="BL7" s="146">
        <f t="shared" si="10"/>
        <v>0</v>
      </c>
      <c r="BM7" s="146">
        <f t="shared" si="11"/>
        <v>0</v>
      </c>
      <c r="BN7" s="146">
        <f t="shared" si="12"/>
        <v>0</v>
      </c>
      <c r="BO7" s="146">
        <f t="shared" si="13"/>
        <v>0</v>
      </c>
      <c r="BP7" s="146">
        <f t="shared" si="14"/>
        <v>0</v>
      </c>
      <c r="BQ7" s="146">
        <f t="shared" si="15"/>
        <v>0</v>
      </c>
      <c r="BR7" s="146">
        <f t="shared" si="16"/>
        <v>0</v>
      </c>
      <c r="BS7" s="146">
        <f t="shared" si="17"/>
        <v>0</v>
      </c>
      <c r="BT7" s="146">
        <f t="shared" si="18"/>
        <v>0</v>
      </c>
      <c r="BU7" s="146">
        <f t="shared" si="19"/>
        <v>0</v>
      </c>
      <c r="BV7" s="147">
        <f t="shared" si="20"/>
        <v>0</v>
      </c>
      <c r="BW7" s="1">
        <f t="shared" si="24"/>
        <v>0</v>
      </c>
      <c r="BX7" s="137">
        <f t="shared" si="25"/>
        <v>15</v>
      </c>
      <c r="BY7" s="137">
        <f t="shared" si="26"/>
        <v>1</v>
      </c>
      <c r="BZ7" s="137">
        <f t="shared" si="27"/>
        <v>0</v>
      </c>
      <c r="CA7" s="137">
        <f t="shared" si="28"/>
        <v>15</v>
      </c>
      <c r="CB7" s="1">
        <f t="shared" si="29"/>
        <v>0</v>
      </c>
      <c r="CC7" s="1">
        <f t="shared" si="30"/>
        <v>0</v>
      </c>
      <c r="CD7" s="144"/>
    </row>
    <row r="8" spans="2:82" ht="19.5" customHeight="1">
      <c r="B8" s="43">
        <f>IF(AND(D7=D8,E7=E8,F7=F8),"","4.")</f>
      </c>
      <c r="C8" s="44" t="str">
        <f t="shared" si="31"/>
        <v>Spieler 4</v>
      </c>
      <c r="D8" s="45">
        <f t="shared" si="32"/>
        <v>0</v>
      </c>
      <c r="E8" s="54">
        <f t="shared" si="33"/>
      </c>
      <c r="F8" s="60" t="str">
        <f t="shared" si="34"/>
        <v> </v>
      </c>
      <c r="I8" s="43">
        <f t="shared" si="35"/>
        <v>4</v>
      </c>
      <c r="J8" s="44" t="str">
        <f>'Kreuztabelle 12'!C26</f>
        <v>Spieler 4</v>
      </c>
      <c r="K8" s="45">
        <f>IF(COUNT('Kreuztabelle 12'!D26:'Kreuztabelle 12'!O26)&gt;0,COUNT('Kreuztabelle 12'!D26:'Kreuztabelle 12'!O26),0)</f>
        <v>0</v>
      </c>
      <c r="L8" s="54">
        <f>'Kreuztabelle 12'!Q26</f>
      </c>
      <c r="M8" s="60" t="str">
        <f>'Kreuztabelle 12'!P26</f>
        <v> </v>
      </c>
      <c r="N8">
        <f>IF(M8=" ",0.09,M8*100000+L8*1000-K8+0.09)</f>
        <v>0.09</v>
      </c>
      <c r="O8" s="62">
        <f>COUNTIF($P$5:$P$16,P8)</f>
        <v>12</v>
      </c>
      <c r="P8" s="62" t="e">
        <f>IF(AND(D7=D8,E7=E8,F7=F8),P7,4)</f>
        <v>#VALUE!</v>
      </c>
      <c r="Q8" s="63" t="e">
        <f t="shared" si="36"/>
        <v>#VALUE!</v>
      </c>
      <c r="R8" s="63" t="str">
        <f t="shared" si="21"/>
        <v> </v>
      </c>
      <c r="T8" s="1">
        <v>4</v>
      </c>
      <c r="AA8" t="str">
        <f>Eingabe!C10</f>
        <v>Spieler 5</v>
      </c>
      <c r="AB8" s="1">
        <f>IF(Eingabe!E10=" ",0,Eingabe!E10)</f>
        <v>0</v>
      </c>
      <c r="AC8" s="1">
        <f>IF(Eingabe!D10=5,5,IF(Eingabe!D10=10,10,15))</f>
        <v>15</v>
      </c>
      <c r="AD8" s="143">
        <f>$AB$11</f>
        <v>0</v>
      </c>
      <c r="AE8" s="3">
        <f>$AB$9</f>
        <v>0</v>
      </c>
      <c r="AF8" s="3">
        <f>$AB$7</f>
        <v>0</v>
      </c>
      <c r="AG8" s="3">
        <f>$AB$5</f>
        <v>0</v>
      </c>
      <c r="AH8" s="3">
        <f>$AB$14</f>
        <v>0</v>
      </c>
      <c r="AI8" s="3">
        <f>$AB$12</f>
        <v>0</v>
      </c>
      <c r="AJ8" s="3">
        <f>$AB$10</f>
        <v>0</v>
      </c>
      <c r="AK8" s="3">
        <f>$AB$15</f>
        <v>0</v>
      </c>
      <c r="AL8" s="3">
        <f>$AB$6</f>
        <v>0</v>
      </c>
      <c r="AM8" s="3">
        <f>$AB$4</f>
        <v>0</v>
      </c>
      <c r="AN8" s="3">
        <f>$AB$13</f>
        <v>0</v>
      </c>
      <c r="AO8" s="143" t="str">
        <f>'12 Spieler'!$I$16</f>
        <v> </v>
      </c>
      <c r="AP8" s="3" t="str">
        <f>'12 Spieler'!$Q$17</f>
        <v> </v>
      </c>
      <c r="AQ8" s="3" t="str">
        <f>'12 Spieler'!$W$17</f>
        <v> </v>
      </c>
      <c r="AR8" s="3" t="str">
        <f>'12 Spieler'!$G$26</f>
        <v> </v>
      </c>
      <c r="AS8" s="3" t="str">
        <f>'12 Spieler'!$O$25</f>
        <v> </v>
      </c>
      <c r="AT8" s="3" t="str">
        <f>'12 Spieler'!$W$24</f>
        <v> </v>
      </c>
      <c r="AU8" s="3" t="str">
        <f>'12 Spieler'!$G$33</f>
        <v> </v>
      </c>
      <c r="AV8" s="3" t="str">
        <f>'12 Spieler'!$O$32</f>
        <v> </v>
      </c>
      <c r="AW8" s="3" t="str">
        <f>'12 Spieler'!$Y$33</f>
        <v> </v>
      </c>
      <c r="AX8" s="3" t="str">
        <f>'12 Spieler'!$I$44</f>
        <v> </v>
      </c>
      <c r="AY8" s="3" t="str">
        <f>'12 Spieler'!$Q$45</f>
        <v> </v>
      </c>
      <c r="AZ8" s="143" t="str">
        <f t="shared" si="22"/>
        <v> </v>
      </c>
      <c r="BA8" s="3" t="str">
        <f t="shared" si="0"/>
        <v> </v>
      </c>
      <c r="BB8" s="3" t="str">
        <f t="shared" si="1"/>
        <v> </v>
      </c>
      <c r="BC8" s="3" t="str">
        <f t="shared" si="2"/>
        <v> </v>
      </c>
      <c r="BD8" s="3" t="str">
        <f t="shared" si="3"/>
        <v> </v>
      </c>
      <c r="BE8" s="3" t="str">
        <f t="shared" si="4"/>
        <v> </v>
      </c>
      <c r="BF8" s="3" t="str">
        <f t="shared" si="5"/>
        <v> </v>
      </c>
      <c r="BG8" s="3" t="str">
        <f t="shared" si="6"/>
        <v> </v>
      </c>
      <c r="BH8" s="3" t="str">
        <f t="shared" si="7"/>
        <v> </v>
      </c>
      <c r="BI8" s="3" t="str">
        <f t="shared" si="8"/>
        <v> </v>
      </c>
      <c r="BJ8" s="3" t="str">
        <f t="shared" si="9"/>
        <v> </v>
      </c>
      <c r="BK8" s="145">
        <f t="shared" si="23"/>
        <v>0</v>
      </c>
      <c r="BL8" s="146">
        <f t="shared" si="10"/>
        <v>0</v>
      </c>
      <c r="BM8" s="146">
        <f t="shared" si="11"/>
        <v>0</v>
      </c>
      <c r="BN8" s="146">
        <f t="shared" si="12"/>
        <v>0</v>
      </c>
      <c r="BO8" s="146">
        <f t="shared" si="13"/>
        <v>0</v>
      </c>
      <c r="BP8" s="146">
        <f t="shared" si="14"/>
        <v>0</v>
      </c>
      <c r="BQ8" s="146">
        <f t="shared" si="15"/>
        <v>0</v>
      </c>
      <c r="BR8" s="146">
        <f t="shared" si="16"/>
        <v>0</v>
      </c>
      <c r="BS8" s="146">
        <f t="shared" si="17"/>
        <v>0</v>
      </c>
      <c r="BT8" s="146">
        <f t="shared" si="18"/>
        <v>0</v>
      </c>
      <c r="BU8" s="146">
        <f t="shared" si="19"/>
        <v>0</v>
      </c>
      <c r="BV8" s="147">
        <f t="shared" si="20"/>
        <v>0</v>
      </c>
      <c r="BW8" s="1">
        <f t="shared" si="24"/>
        <v>0</v>
      </c>
      <c r="BX8" s="137">
        <f t="shared" si="25"/>
        <v>15</v>
      </c>
      <c r="BY8" s="137">
        <f t="shared" si="26"/>
        <v>1</v>
      </c>
      <c r="BZ8" s="137">
        <f t="shared" si="27"/>
        <v>0</v>
      </c>
      <c r="CA8" s="137">
        <f t="shared" si="28"/>
        <v>15</v>
      </c>
      <c r="CB8" s="1">
        <f t="shared" si="29"/>
        <v>0</v>
      </c>
      <c r="CC8" s="1">
        <f t="shared" si="30"/>
        <v>0</v>
      </c>
      <c r="CD8" s="144"/>
    </row>
    <row r="9" spans="2:82" ht="19.5" customHeight="1">
      <c r="B9" s="43">
        <f>IF(AND(D8=D9,E8=E9,F8=F9),"","5.")</f>
      </c>
      <c r="C9" s="44" t="str">
        <f t="shared" si="31"/>
        <v>Spieler 5</v>
      </c>
      <c r="D9" s="45">
        <f t="shared" si="32"/>
        <v>0</v>
      </c>
      <c r="E9" s="54">
        <f t="shared" si="33"/>
      </c>
      <c r="F9" s="60" t="str">
        <f t="shared" si="34"/>
        <v> </v>
      </c>
      <c r="I9" s="43">
        <f t="shared" si="35"/>
        <v>5</v>
      </c>
      <c r="J9" s="44" t="str">
        <f>'Kreuztabelle 12'!C27</f>
        <v>Spieler 5</v>
      </c>
      <c r="K9" s="45">
        <f>IF(COUNT('Kreuztabelle 12'!D27:'Kreuztabelle 12'!O27)&gt;0,COUNT('Kreuztabelle 12'!D27:'Kreuztabelle 12'!O27),0)</f>
        <v>0</v>
      </c>
      <c r="L9" s="54">
        <f>'Kreuztabelle 12'!Q27</f>
      </c>
      <c r="M9" s="60" t="str">
        <f>'Kreuztabelle 12'!P27</f>
        <v> </v>
      </c>
      <c r="N9">
        <f>IF(M9=" ",0.08,M9*100000+L9*1000-K9+0.08)</f>
        <v>0.08</v>
      </c>
      <c r="O9" s="62">
        <f>COUNTIF($P$5:$P$16,P9)</f>
        <v>12</v>
      </c>
      <c r="P9" s="62" t="e">
        <f>IF(AND(D8=D9,E8=E9,F8=F9),P8,5)</f>
        <v>#VALUE!</v>
      </c>
      <c r="Q9" s="63" t="e">
        <f t="shared" si="36"/>
        <v>#VALUE!</v>
      </c>
      <c r="R9" s="63" t="str">
        <f t="shared" si="21"/>
        <v> </v>
      </c>
      <c r="T9" s="1">
        <v>5</v>
      </c>
      <c r="AA9" t="str">
        <f>Eingabe!C11</f>
        <v>Spieler 6</v>
      </c>
      <c r="AB9" s="1">
        <f>IF(Eingabe!E11=" ",0,Eingabe!E11)</f>
        <v>0</v>
      </c>
      <c r="AC9" s="1">
        <f>IF(Eingabe!D11=5,5,IF(Eingabe!D11=10,10,15))</f>
        <v>15</v>
      </c>
      <c r="AD9" s="143">
        <f>$AB$10</f>
        <v>0</v>
      </c>
      <c r="AE9" s="3">
        <f>$AB$8</f>
        <v>0</v>
      </c>
      <c r="AF9" s="3">
        <f>$AB$6</f>
        <v>0</v>
      </c>
      <c r="AG9" s="3">
        <f>$AB$4</f>
        <v>0</v>
      </c>
      <c r="AH9" s="3">
        <f>$AB$13</f>
        <v>0</v>
      </c>
      <c r="AI9" s="3">
        <f>$AB$11</f>
        <v>0</v>
      </c>
      <c r="AJ9" s="3">
        <f>$AB$15</f>
        <v>0</v>
      </c>
      <c r="AK9" s="3">
        <f>$AB$7</f>
        <v>0</v>
      </c>
      <c r="AL9" s="3">
        <f>$AB$5</f>
        <v>0</v>
      </c>
      <c r="AM9" s="3">
        <f>$AB$14</f>
        <v>0</v>
      </c>
      <c r="AN9" s="3">
        <f>$AB$12</f>
        <v>0</v>
      </c>
      <c r="AO9" s="143" t="str">
        <f>'12 Spieler'!$I$17</f>
        <v> </v>
      </c>
      <c r="AP9" s="3" t="str">
        <f>'12 Spieler'!$O$17</f>
        <v> </v>
      </c>
      <c r="AQ9" s="3" t="str">
        <f>'12 Spieler'!$W$16</f>
        <v> </v>
      </c>
      <c r="AR9" s="3" t="str">
        <f>'12 Spieler'!$G$25</f>
        <v> </v>
      </c>
      <c r="AS9" s="3" t="str">
        <f>'12 Spieler'!$O$24</f>
        <v> </v>
      </c>
      <c r="AT9" s="3" t="str">
        <f>'12 Spieler'!$W$23</f>
        <v> </v>
      </c>
      <c r="AU9" s="3" t="str">
        <f>'12 Spieler'!$G$32</f>
        <v> </v>
      </c>
      <c r="AV9" s="3" t="str">
        <f>'12 Spieler'!$Q$33</f>
        <v> </v>
      </c>
      <c r="AW9" s="3" t="str">
        <f>'12 Spieler'!$Y$34</f>
        <v> </v>
      </c>
      <c r="AX9" s="3" t="str">
        <f>'12 Spieler'!$I$45</f>
        <v> </v>
      </c>
      <c r="AY9" s="3" t="str">
        <f>'12 Spieler'!$Q$46</f>
        <v> </v>
      </c>
      <c r="AZ9" s="143" t="str">
        <f t="shared" si="22"/>
        <v> </v>
      </c>
      <c r="BA9" s="3" t="str">
        <f t="shared" si="0"/>
        <v> </v>
      </c>
      <c r="BB9" s="3" t="str">
        <f t="shared" si="1"/>
        <v> </v>
      </c>
      <c r="BC9" s="3" t="str">
        <f t="shared" si="2"/>
        <v> </v>
      </c>
      <c r="BD9" s="3" t="str">
        <f t="shared" si="3"/>
        <v> </v>
      </c>
      <c r="BE9" s="3" t="str">
        <f t="shared" si="4"/>
        <v> </v>
      </c>
      <c r="BF9" s="3" t="str">
        <f t="shared" si="5"/>
        <v> </v>
      </c>
      <c r="BG9" s="3" t="str">
        <f t="shared" si="6"/>
        <v> </v>
      </c>
      <c r="BH9" s="3" t="str">
        <f t="shared" si="7"/>
        <v> </v>
      </c>
      <c r="BI9" s="3" t="str">
        <f t="shared" si="8"/>
        <v> </v>
      </c>
      <c r="BJ9" s="3" t="str">
        <f t="shared" si="9"/>
        <v> </v>
      </c>
      <c r="BK9" s="145">
        <f t="shared" si="23"/>
        <v>0</v>
      </c>
      <c r="BL9" s="146">
        <f t="shared" si="10"/>
        <v>0</v>
      </c>
      <c r="BM9" s="146">
        <f t="shared" si="11"/>
        <v>0</v>
      </c>
      <c r="BN9" s="146">
        <f t="shared" si="12"/>
        <v>0</v>
      </c>
      <c r="BO9" s="146">
        <f t="shared" si="13"/>
        <v>0</v>
      </c>
      <c r="BP9" s="146">
        <f t="shared" si="14"/>
        <v>0</v>
      </c>
      <c r="BQ9" s="146">
        <f t="shared" si="15"/>
        <v>0</v>
      </c>
      <c r="BR9" s="146">
        <f t="shared" si="16"/>
        <v>0</v>
      </c>
      <c r="BS9" s="146">
        <f t="shared" si="17"/>
        <v>0</v>
      </c>
      <c r="BT9" s="146">
        <f t="shared" si="18"/>
        <v>0</v>
      </c>
      <c r="BU9" s="146">
        <f t="shared" si="19"/>
        <v>0</v>
      </c>
      <c r="BV9" s="147">
        <f t="shared" si="20"/>
        <v>0</v>
      </c>
      <c r="BW9" s="1">
        <f t="shared" si="24"/>
        <v>0</v>
      </c>
      <c r="BX9" s="137">
        <f t="shared" si="25"/>
        <v>15</v>
      </c>
      <c r="BY9" s="137">
        <f t="shared" si="26"/>
        <v>1</v>
      </c>
      <c r="BZ9" s="137">
        <f t="shared" si="27"/>
        <v>0</v>
      </c>
      <c r="CA9" s="137">
        <f t="shared" si="28"/>
        <v>15</v>
      </c>
      <c r="CB9" s="1">
        <f t="shared" si="29"/>
        <v>0</v>
      </c>
      <c r="CC9" s="1">
        <f t="shared" si="30"/>
        <v>0</v>
      </c>
      <c r="CD9" s="144"/>
    </row>
    <row r="10" spans="2:82" ht="19.5" customHeight="1">
      <c r="B10" s="43">
        <f>IF(AND(D9=D10,E9=E10,F9=F10),"","6.")</f>
      </c>
      <c r="C10" s="44" t="str">
        <f t="shared" si="31"/>
        <v>Spieler 6</v>
      </c>
      <c r="D10" s="45">
        <f t="shared" si="32"/>
        <v>0</v>
      </c>
      <c r="E10" s="54">
        <f t="shared" si="33"/>
      </c>
      <c r="F10" s="60" t="str">
        <f t="shared" si="34"/>
        <v> </v>
      </c>
      <c r="I10" s="43">
        <f t="shared" si="35"/>
        <v>6</v>
      </c>
      <c r="J10" s="44" t="str">
        <f>'Kreuztabelle 12'!C28</f>
        <v>Spieler 6</v>
      </c>
      <c r="K10" s="45">
        <f>IF(COUNT('Kreuztabelle 12'!D28:'Kreuztabelle 12'!O28)&gt;0,COUNT('Kreuztabelle 12'!D28:'Kreuztabelle 12'!O28),0)</f>
        <v>0</v>
      </c>
      <c r="L10" s="54">
        <f>'Kreuztabelle 12'!Q28</f>
      </c>
      <c r="M10" s="60" t="str">
        <f>'Kreuztabelle 12'!P28</f>
        <v> </v>
      </c>
      <c r="N10">
        <f>IF(M10=" ",0.07,M10*100000+L10*1000-K10+0.07)</f>
        <v>0.07</v>
      </c>
      <c r="O10" s="62">
        <f aca="true" t="shared" si="37" ref="O10:O16">COUNTIF($P$5:$P$16,P10)</f>
        <v>12</v>
      </c>
      <c r="P10" s="62" t="e">
        <f>IF(AND(D9=D10,E9=E10,F9=F10),P9,6)</f>
        <v>#VALUE!</v>
      </c>
      <c r="Q10" s="63" t="e">
        <f t="shared" si="36"/>
        <v>#VALUE!</v>
      </c>
      <c r="R10" s="63" t="str">
        <f t="shared" si="21"/>
        <v> </v>
      </c>
      <c r="T10" s="1">
        <v>6</v>
      </c>
      <c r="AA10" t="str">
        <f>Eingabe!C12</f>
        <v>Spieler 7</v>
      </c>
      <c r="AB10" s="1">
        <f>IF(Eingabe!E12=" ",0,Eingabe!E12)</f>
        <v>0</v>
      </c>
      <c r="AC10" s="1">
        <f>IF(Eingabe!D12=5,5,IF(Eingabe!D12=10,10,15))</f>
        <v>15</v>
      </c>
      <c r="AD10" s="143">
        <f>$AB$9</f>
        <v>0</v>
      </c>
      <c r="AE10" s="3">
        <f>$AB$7</f>
        <v>0</v>
      </c>
      <c r="AF10" s="3">
        <f>$AB$5</f>
        <v>0</v>
      </c>
      <c r="AG10" s="3">
        <f>$AB$14</f>
        <v>0</v>
      </c>
      <c r="AH10" s="3">
        <f>$AB$12</f>
        <v>0</v>
      </c>
      <c r="AI10" s="3">
        <f>$AB$15</f>
        <v>0</v>
      </c>
      <c r="AJ10" s="3">
        <f>$AB$8</f>
        <v>0</v>
      </c>
      <c r="AK10" s="3">
        <f>$AB$6</f>
        <v>0</v>
      </c>
      <c r="AL10" s="3">
        <f>$AB$4</f>
        <v>0</v>
      </c>
      <c r="AM10" s="3">
        <f>$AB$13</f>
        <v>0</v>
      </c>
      <c r="AN10" s="3">
        <f>$AB$11</f>
        <v>0</v>
      </c>
      <c r="AO10" s="143" t="str">
        <f>'12 Spieler'!$G$17</f>
        <v> </v>
      </c>
      <c r="AP10" s="3" t="str">
        <f>'12 Spieler'!$O$16</f>
        <v> </v>
      </c>
      <c r="AQ10" s="3" t="str">
        <f>'12 Spieler'!$W$15</f>
        <v> </v>
      </c>
      <c r="AR10" s="3" t="str">
        <f>'12 Spieler'!$G$24</f>
        <v> </v>
      </c>
      <c r="AS10" s="3" t="str">
        <f>'12 Spieler'!$O$23</f>
        <v> </v>
      </c>
      <c r="AT10" s="3" t="str">
        <f>'12 Spieler'!$W$22</f>
        <v> </v>
      </c>
      <c r="AU10" s="3" t="str">
        <f>'12 Spieler'!$I$33</f>
        <v> </v>
      </c>
      <c r="AV10" s="3" t="str">
        <f>'12 Spieler'!$Q$34</f>
        <v> </v>
      </c>
      <c r="AW10" s="3" t="str">
        <f>'12 Spieler'!$Y$35</f>
        <v> </v>
      </c>
      <c r="AX10" s="3" t="str">
        <f>'12 Spieler'!$I$46</f>
        <v> </v>
      </c>
      <c r="AY10" s="3" t="str">
        <f>'12 Spieler'!$Q$47</f>
        <v> </v>
      </c>
      <c r="AZ10" s="143" t="str">
        <f t="shared" si="22"/>
        <v> </v>
      </c>
      <c r="BA10" s="3" t="str">
        <f t="shared" si="0"/>
        <v> </v>
      </c>
      <c r="BB10" s="3" t="str">
        <f t="shared" si="1"/>
        <v> </v>
      </c>
      <c r="BC10" s="3" t="str">
        <f t="shared" si="2"/>
        <v> </v>
      </c>
      <c r="BD10" s="3" t="str">
        <f t="shared" si="3"/>
        <v> </v>
      </c>
      <c r="BE10" s="3" t="str">
        <f t="shared" si="4"/>
        <v> </v>
      </c>
      <c r="BF10" s="3" t="str">
        <f t="shared" si="5"/>
        <v> </v>
      </c>
      <c r="BG10" s="3" t="str">
        <f t="shared" si="6"/>
        <v> </v>
      </c>
      <c r="BH10" s="3" t="str">
        <f t="shared" si="7"/>
        <v> </v>
      </c>
      <c r="BI10" s="3" t="str">
        <f t="shared" si="8"/>
        <v> </v>
      </c>
      <c r="BJ10" s="3" t="str">
        <f t="shared" si="9"/>
        <v> </v>
      </c>
      <c r="BK10" s="145">
        <f t="shared" si="23"/>
        <v>0</v>
      </c>
      <c r="BL10" s="146">
        <f t="shared" si="10"/>
        <v>0</v>
      </c>
      <c r="BM10" s="146">
        <f t="shared" si="11"/>
        <v>0</v>
      </c>
      <c r="BN10" s="146">
        <f t="shared" si="12"/>
        <v>0</v>
      </c>
      <c r="BO10" s="146">
        <f t="shared" si="13"/>
        <v>0</v>
      </c>
      <c r="BP10" s="146">
        <f t="shared" si="14"/>
        <v>0</v>
      </c>
      <c r="BQ10" s="146">
        <f t="shared" si="15"/>
        <v>0</v>
      </c>
      <c r="BR10" s="146">
        <f t="shared" si="16"/>
        <v>0</v>
      </c>
      <c r="BS10" s="146">
        <f t="shared" si="17"/>
        <v>0</v>
      </c>
      <c r="BT10" s="146">
        <f t="shared" si="18"/>
        <v>0</v>
      </c>
      <c r="BU10" s="146">
        <f t="shared" si="19"/>
        <v>0</v>
      </c>
      <c r="BV10" s="147">
        <f aca="true" t="shared" si="38" ref="BV10:BV15">SUM(BK10:BU10)</f>
        <v>0</v>
      </c>
      <c r="BW10" s="1">
        <f t="shared" si="24"/>
        <v>0</v>
      </c>
      <c r="BX10" s="137">
        <f t="shared" si="25"/>
        <v>15</v>
      </c>
      <c r="BY10" s="137">
        <f t="shared" si="26"/>
        <v>1</v>
      </c>
      <c r="BZ10" s="137">
        <f t="shared" si="27"/>
        <v>0</v>
      </c>
      <c r="CA10" s="137">
        <f t="shared" si="28"/>
        <v>15</v>
      </c>
      <c r="CB10" s="1">
        <f t="shared" si="29"/>
        <v>0</v>
      </c>
      <c r="CC10" s="1">
        <f t="shared" si="30"/>
        <v>0</v>
      </c>
      <c r="CD10" s="144"/>
    </row>
    <row r="11" spans="2:82" ht="19.5" customHeight="1">
      <c r="B11" s="43">
        <f>IF(AND(D10=D11,E10=E11,F10=F11),"","7.")</f>
      </c>
      <c r="C11" s="44" t="str">
        <f t="shared" si="31"/>
        <v>Spieler 7</v>
      </c>
      <c r="D11" s="45">
        <f t="shared" si="32"/>
        <v>0</v>
      </c>
      <c r="E11" s="54">
        <f t="shared" si="33"/>
      </c>
      <c r="F11" s="60" t="str">
        <f t="shared" si="34"/>
        <v> </v>
      </c>
      <c r="I11" s="43">
        <f t="shared" si="35"/>
        <v>7</v>
      </c>
      <c r="J11" s="44" t="str">
        <f>'Kreuztabelle 12'!C29</f>
        <v>Spieler 7</v>
      </c>
      <c r="K11" s="45">
        <f>IF(COUNT('Kreuztabelle 12'!D29:'Kreuztabelle 12'!O29)&gt;0,COUNT('Kreuztabelle 12'!D29:'Kreuztabelle 12'!O29),0)</f>
        <v>0</v>
      </c>
      <c r="L11" s="54">
        <f>'Kreuztabelle 12'!Q29</f>
      </c>
      <c r="M11" s="60" t="str">
        <f>'Kreuztabelle 12'!P29</f>
        <v> </v>
      </c>
      <c r="N11">
        <f>IF(M11=" ",0.06,M11*100000+L11*1000-K11+0.06)</f>
        <v>0.06</v>
      </c>
      <c r="O11" s="62">
        <f t="shared" si="37"/>
        <v>12</v>
      </c>
      <c r="P11" s="62" t="e">
        <f>IF(AND(D10=D11,E10=E11,F10=F11),P10,7)</f>
        <v>#VALUE!</v>
      </c>
      <c r="Q11" s="63" t="e">
        <f t="shared" si="36"/>
        <v>#VALUE!</v>
      </c>
      <c r="R11" s="63" t="str">
        <f t="shared" si="21"/>
        <v> </v>
      </c>
      <c r="T11" s="1">
        <v>7</v>
      </c>
      <c r="AA11" t="str">
        <f>Eingabe!C13</f>
        <v>Spieler 8</v>
      </c>
      <c r="AB11" s="1">
        <f>IF(Eingabe!E13=" ",0,Eingabe!E13)</f>
        <v>0</v>
      </c>
      <c r="AC11" s="1">
        <f>IF(Eingabe!D13=5,5,IF(Eingabe!D13=10,10,15))</f>
        <v>15</v>
      </c>
      <c r="AD11" s="143">
        <f>$AB$8</f>
        <v>0</v>
      </c>
      <c r="AE11" s="3">
        <f>$AB$6</f>
        <v>0</v>
      </c>
      <c r="AF11" s="3">
        <f>$AB$4</f>
        <v>0</v>
      </c>
      <c r="AG11" s="3">
        <f>$AB$13</f>
        <v>0</v>
      </c>
      <c r="AH11" s="3">
        <f>$AB$15</f>
        <v>0</v>
      </c>
      <c r="AI11" s="3">
        <f>$AB$9</f>
        <v>0</v>
      </c>
      <c r="AJ11" s="3">
        <f>$AB$7</f>
        <v>0</v>
      </c>
      <c r="AK11" s="3">
        <f>$AB$5</f>
        <v>0</v>
      </c>
      <c r="AL11" s="3">
        <f>$AB$14</f>
        <v>0</v>
      </c>
      <c r="AM11" s="3">
        <f>$AB$12</f>
        <v>0</v>
      </c>
      <c r="AN11" s="3">
        <f>$AB$10</f>
        <v>0</v>
      </c>
      <c r="AO11" s="143" t="str">
        <f>'12 Spieler'!$G$16</f>
        <v> </v>
      </c>
      <c r="AP11" s="3" t="str">
        <f>'12 Spieler'!$O$15</f>
        <v> </v>
      </c>
      <c r="AQ11" s="3" t="str">
        <f>'12 Spieler'!$W$14</f>
        <v> </v>
      </c>
      <c r="AR11" s="3" t="str">
        <f>'12 Spieler'!$G$23</f>
        <v> </v>
      </c>
      <c r="AS11" s="3" t="str">
        <f>'12 Spieler'!$O$22</f>
        <v> </v>
      </c>
      <c r="AT11" s="3" t="str">
        <f>'12 Spieler'!$Y$23</f>
        <v> </v>
      </c>
      <c r="AU11" s="3" t="str">
        <f>'12 Spieler'!$I$34</f>
        <v> </v>
      </c>
      <c r="AV11" s="3" t="str">
        <f>'12 Spieler'!$Q$35</f>
        <v> </v>
      </c>
      <c r="AW11" s="3" t="str">
        <f>'12 Spieler'!$Y$36</f>
        <v> </v>
      </c>
      <c r="AX11" s="3" t="str">
        <f>'12 Spieler'!$I$47</f>
        <v> </v>
      </c>
      <c r="AY11" s="3" t="str">
        <f>'12 Spieler'!$O$47</f>
        <v> </v>
      </c>
      <c r="AZ11" s="143" t="str">
        <f t="shared" si="22"/>
        <v> </v>
      </c>
      <c r="BA11" s="3" t="str">
        <f t="shared" si="0"/>
        <v> </v>
      </c>
      <c r="BB11" s="3" t="str">
        <f t="shared" si="1"/>
        <v> </v>
      </c>
      <c r="BC11" s="3" t="str">
        <f t="shared" si="2"/>
        <v> </v>
      </c>
      <c r="BD11" s="3" t="str">
        <f t="shared" si="3"/>
        <v> </v>
      </c>
      <c r="BE11" s="3" t="str">
        <f t="shared" si="4"/>
        <v> </v>
      </c>
      <c r="BF11" s="3" t="str">
        <f t="shared" si="5"/>
        <v> </v>
      </c>
      <c r="BG11" s="3" t="str">
        <f t="shared" si="6"/>
        <v> </v>
      </c>
      <c r="BH11" s="3" t="str">
        <f t="shared" si="7"/>
        <v> </v>
      </c>
      <c r="BI11" s="3" t="str">
        <f t="shared" si="8"/>
        <v> </v>
      </c>
      <c r="BJ11" s="3" t="str">
        <f t="shared" si="9"/>
        <v> </v>
      </c>
      <c r="BK11" s="145">
        <f t="shared" si="23"/>
        <v>0</v>
      </c>
      <c r="BL11" s="146">
        <f t="shared" si="10"/>
        <v>0</v>
      </c>
      <c r="BM11" s="146">
        <f t="shared" si="11"/>
        <v>0</v>
      </c>
      <c r="BN11" s="146">
        <f t="shared" si="12"/>
        <v>0</v>
      </c>
      <c r="BO11" s="146">
        <f t="shared" si="13"/>
        <v>0</v>
      </c>
      <c r="BP11" s="146">
        <f t="shared" si="14"/>
        <v>0</v>
      </c>
      <c r="BQ11" s="146">
        <f t="shared" si="15"/>
        <v>0</v>
      </c>
      <c r="BR11" s="146">
        <f t="shared" si="16"/>
        <v>0</v>
      </c>
      <c r="BS11" s="146">
        <f t="shared" si="17"/>
        <v>0</v>
      </c>
      <c r="BT11" s="146">
        <f t="shared" si="18"/>
        <v>0</v>
      </c>
      <c r="BU11" s="146">
        <f t="shared" si="19"/>
        <v>0</v>
      </c>
      <c r="BV11" s="147">
        <f t="shared" si="38"/>
        <v>0</v>
      </c>
      <c r="BW11" s="1">
        <f t="shared" si="24"/>
        <v>0</v>
      </c>
      <c r="BX11" s="137">
        <f t="shared" si="25"/>
        <v>15</v>
      </c>
      <c r="BY11" s="137">
        <f t="shared" si="26"/>
        <v>1</v>
      </c>
      <c r="BZ11" s="137">
        <f t="shared" si="27"/>
        <v>0</v>
      </c>
      <c r="CA11" s="137">
        <f t="shared" si="28"/>
        <v>15</v>
      </c>
      <c r="CB11" s="1">
        <f t="shared" si="29"/>
        <v>0</v>
      </c>
      <c r="CC11" s="1">
        <f t="shared" si="30"/>
        <v>0</v>
      </c>
      <c r="CD11" s="144"/>
    </row>
    <row r="12" spans="2:82" ht="19.5" customHeight="1">
      <c r="B12" s="43">
        <f>IF(AND(D11=D12,E11=E12,F11=F12),"","8.")</f>
      </c>
      <c r="C12" s="44" t="str">
        <f t="shared" si="31"/>
        <v>Spieler 8</v>
      </c>
      <c r="D12" s="45">
        <f t="shared" si="32"/>
        <v>0</v>
      </c>
      <c r="E12" s="54">
        <f t="shared" si="33"/>
      </c>
      <c r="F12" s="60" t="str">
        <f t="shared" si="34"/>
        <v> </v>
      </c>
      <c r="I12" s="43">
        <f t="shared" si="35"/>
        <v>8</v>
      </c>
      <c r="J12" s="44" t="str">
        <f>'Kreuztabelle 12'!C30</f>
        <v>Spieler 8</v>
      </c>
      <c r="K12" s="45">
        <f>IF(COUNT('Kreuztabelle 12'!D30:'Kreuztabelle 12'!O30)&gt;0,COUNT('Kreuztabelle 12'!D30:'Kreuztabelle 12'!O30),0)</f>
        <v>0</v>
      </c>
      <c r="L12" s="54">
        <f>'Kreuztabelle 12'!Q30</f>
      </c>
      <c r="M12" s="60" t="str">
        <f>'Kreuztabelle 12'!P30</f>
        <v> </v>
      </c>
      <c r="N12">
        <f>IF(M12=" ",0.05,M12*100000+L12*1000-K12+0.05)</f>
        <v>0.05</v>
      </c>
      <c r="O12" s="62">
        <f t="shared" si="37"/>
        <v>12</v>
      </c>
      <c r="P12" s="62" t="e">
        <f>IF(AND(D11=D12,E11=E12,F11=F12),P11,8)</f>
        <v>#VALUE!</v>
      </c>
      <c r="Q12" s="63" t="e">
        <f t="shared" si="36"/>
        <v>#VALUE!</v>
      </c>
      <c r="R12" s="63" t="str">
        <f t="shared" si="21"/>
        <v> </v>
      </c>
      <c r="T12" s="1">
        <v>8</v>
      </c>
      <c r="AA12" t="str">
        <f>Eingabe!C14</f>
        <v>Spieler 9</v>
      </c>
      <c r="AB12" s="1">
        <f>IF(Eingabe!E14=" ",0,Eingabe!E14)</f>
        <v>0</v>
      </c>
      <c r="AC12" s="1">
        <f>IF(Eingabe!D14=5,5,IF(Eingabe!D14=10,10,15))</f>
        <v>15</v>
      </c>
      <c r="AD12" s="143">
        <f>$AB$7</f>
        <v>0</v>
      </c>
      <c r="AE12" s="3">
        <f>$AB$5</f>
        <v>0</v>
      </c>
      <c r="AF12" s="3">
        <f>$AB$14</f>
        <v>0</v>
      </c>
      <c r="AG12" s="3">
        <f>$AB$15</f>
        <v>0</v>
      </c>
      <c r="AH12" s="3">
        <f>$AB$10</f>
        <v>0</v>
      </c>
      <c r="AI12" s="3">
        <f>$AB$8</f>
        <v>0</v>
      </c>
      <c r="AJ12" s="3">
        <f>$AB$6</f>
        <v>0</v>
      </c>
      <c r="AK12" s="3">
        <f>$AB$4</f>
        <v>0</v>
      </c>
      <c r="AL12" s="3">
        <f>$AB$13</f>
        <v>0</v>
      </c>
      <c r="AM12" s="3">
        <f>$AB$11</f>
        <v>0</v>
      </c>
      <c r="AN12" s="3">
        <f>$AB$9</f>
        <v>0</v>
      </c>
      <c r="AO12" s="143" t="str">
        <f>'12 Spieler'!$G$15</f>
        <v> </v>
      </c>
      <c r="AP12" s="3" t="str">
        <f>'12 Spieler'!$O$14</f>
        <v> </v>
      </c>
      <c r="AQ12" s="3" t="str">
        <f>'12 Spieler'!$W$13</f>
        <v> </v>
      </c>
      <c r="AR12" s="3" t="str">
        <f>'12 Spieler'!$G$22</f>
        <v> </v>
      </c>
      <c r="AS12" s="3" t="str">
        <f>'12 Spieler'!$Q$23</f>
        <v> </v>
      </c>
      <c r="AT12" s="3" t="str">
        <f>'12 Spieler'!$Y$24</f>
        <v> </v>
      </c>
      <c r="AU12" s="3" t="str">
        <f>'12 Spieler'!$I$35</f>
        <v> </v>
      </c>
      <c r="AV12" s="3" t="str">
        <f>'12 Spieler'!$Q$36</f>
        <v> </v>
      </c>
      <c r="AW12" s="3" t="str">
        <f>'12 Spieler'!$Y$37</f>
        <v> </v>
      </c>
      <c r="AX12" s="3" t="str">
        <f>'12 Spieler'!$G$47</f>
        <v> </v>
      </c>
      <c r="AY12" s="3" t="str">
        <f>'12 Spieler'!$O$46</f>
        <v> </v>
      </c>
      <c r="AZ12" s="143" t="str">
        <f t="shared" si="22"/>
        <v> </v>
      </c>
      <c r="BA12" s="3" t="str">
        <f t="shared" si="0"/>
        <v> </v>
      </c>
      <c r="BB12" s="3" t="str">
        <f t="shared" si="1"/>
        <v> </v>
      </c>
      <c r="BC12" s="3" t="str">
        <f t="shared" si="2"/>
        <v> </v>
      </c>
      <c r="BD12" s="3" t="str">
        <f t="shared" si="3"/>
        <v> </v>
      </c>
      <c r="BE12" s="3" t="str">
        <f t="shared" si="4"/>
        <v> </v>
      </c>
      <c r="BF12" s="3" t="str">
        <f t="shared" si="5"/>
        <v> </v>
      </c>
      <c r="BG12" s="3" t="str">
        <f t="shared" si="6"/>
        <v> </v>
      </c>
      <c r="BH12" s="3" t="str">
        <f t="shared" si="7"/>
        <v> </v>
      </c>
      <c r="BI12" s="3" t="str">
        <f t="shared" si="8"/>
        <v> </v>
      </c>
      <c r="BJ12" s="3" t="str">
        <f t="shared" si="9"/>
        <v> </v>
      </c>
      <c r="BK12" s="145">
        <f t="shared" si="23"/>
        <v>0</v>
      </c>
      <c r="BL12" s="146">
        <f t="shared" si="10"/>
        <v>0</v>
      </c>
      <c r="BM12" s="146">
        <f t="shared" si="11"/>
        <v>0</v>
      </c>
      <c r="BN12" s="146">
        <f t="shared" si="12"/>
        <v>0</v>
      </c>
      <c r="BO12" s="146">
        <f t="shared" si="13"/>
        <v>0</v>
      </c>
      <c r="BP12" s="146">
        <f t="shared" si="14"/>
        <v>0</v>
      </c>
      <c r="BQ12" s="146">
        <f t="shared" si="15"/>
        <v>0</v>
      </c>
      <c r="BR12" s="146">
        <f t="shared" si="16"/>
        <v>0</v>
      </c>
      <c r="BS12" s="146">
        <f t="shared" si="17"/>
        <v>0</v>
      </c>
      <c r="BT12" s="146">
        <f t="shared" si="18"/>
        <v>0</v>
      </c>
      <c r="BU12" s="146">
        <f t="shared" si="19"/>
        <v>0</v>
      </c>
      <c r="BV12" s="147">
        <f t="shared" si="38"/>
        <v>0</v>
      </c>
      <c r="BW12" s="1">
        <f t="shared" si="24"/>
        <v>0</v>
      </c>
      <c r="BX12" s="137">
        <f t="shared" si="25"/>
        <v>15</v>
      </c>
      <c r="BY12" s="137">
        <f>IF(AI12=5,IF(CB12&gt;=BV12,AH12/2000,1),1)</f>
        <v>1</v>
      </c>
      <c r="BZ12" s="137">
        <f>IF(CB12&gt;=BV12,0,IF((IF(AI12=5,IF(AH12&lt;1300,(POWER(2.71828,(1300-AH12)/150))-1,0),0))&gt;150,150,IF(AI12=5,IF(AH12&lt;1300,(POWER(2.71828,(1300-AH12)/150))-1,0),0)))</f>
        <v>0</v>
      </c>
      <c r="CA12" s="137">
        <f t="shared" si="28"/>
        <v>15</v>
      </c>
      <c r="CB12" s="1">
        <f t="shared" si="29"/>
        <v>0</v>
      </c>
      <c r="CC12" s="1">
        <f t="shared" si="30"/>
        <v>0</v>
      </c>
      <c r="CD12" s="144"/>
    </row>
    <row r="13" spans="1:82" ht="19.5" customHeight="1">
      <c r="A13" s="2"/>
      <c r="B13" s="43">
        <f>IF(AND(D12=D13,E12=E13,F12=F13),"","9.")</f>
      </c>
      <c r="C13" s="44" t="str">
        <f t="shared" si="31"/>
        <v>Spieler 9</v>
      </c>
      <c r="D13" s="45">
        <f t="shared" si="32"/>
        <v>0</v>
      </c>
      <c r="E13" s="54">
        <f t="shared" si="33"/>
      </c>
      <c r="F13" s="60" t="str">
        <f t="shared" si="34"/>
        <v> </v>
      </c>
      <c r="I13" s="43">
        <f t="shared" si="35"/>
        <v>9</v>
      </c>
      <c r="J13" s="44" t="str">
        <f>'Kreuztabelle 12'!C31</f>
        <v>Spieler 9</v>
      </c>
      <c r="K13" s="45">
        <f>IF(COUNT('Kreuztabelle 12'!D31:'Kreuztabelle 12'!O31)&gt;0,COUNT('Kreuztabelle 12'!D31:'Kreuztabelle 12'!O31),0)</f>
        <v>0</v>
      </c>
      <c r="L13" s="54">
        <f>'Kreuztabelle 12'!Q31</f>
      </c>
      <c r="M13" s="60" t="str">
        <f>'Kreuztabelle 12'!P31</f>
        <v> </v>
      </c>
      <c r="N13">
        <f>IF(M13=" ",0.04,M13*100000+L13*1000-K13+0.04)</f>
        <v>0.04</v>
      </c>
      <c r="O13" s="62">
        <f t="shared" si="37"/>
        <v>12</v>
      </c>
      <c r="P13" s="62" t="e">
        <f>IF(AND(D12=D13,E12=E13,F12=F13),P12,9)</f>
        <v>#VALUE!</v>
      </c>
      <c r="Q13" s="63" t="e">
        <f t="shared" si="36"/>
        <v>#VALUE!</v>
      </c>
      <c r="R13" s="63" t="str">
        <f t="shared" si="21"/>
        <v> </v>
      </c>
      <c r="T13" s="1">
        <v>9</v>
      </c>
      <c r="AA13" t="str">
        <f>Eingabe!C15</f>
        <v>Spieler 10</v>
      </c>
      <c r="AB13" s="1">
        <f>IF(Eingabe!E15=" ",0,Eingabe!E15)</f>
        <v>0</v>
      </c>
      <c r="AC13" s="1">
        <f>IF(Eingabe!D15=5,5,IF(Eingabe!D15=10,10,15))</f>
        <v>15</v>
      </c>
      <c r="AD13" s="143">
        <f>$AB$6</f>
        <v>0</v>
      </c>
      <c r="AE13" s="3">
        <f>$AB$4</f>
        <v>0</v>
      </c>
      <c r="AF13" s="3">
        <f>$AB$15</f>
        <v>0</v>
      </c>
      <c r="AG13" s="3">
        <f>$AB$11</f>
        <v>0</v>
      </c>
      <c r="AH13" s="3">
        <f>$AB$9</f>
        <v>0</v>
      </c>
      <c r="AI13" s="3">
        <f>$AB$7</f>
        <v>0</v>
      </c>
      <c r="AJ13" s="3">
        <f>$AB$5</f>
        <v>0</v>
      </c>
      <c r="AK13" s="3">
        <f>$AB$14</f>
        <v>0</v>
      </c>
      <c r="AL13" s="3">
        <f>$AB$12</f>
        <v>0</v>
      </c>
      <c r="AM13" s="3">
        <f>$AB$10</f>
        <v>0</v>
      </c>
      <c r="AN13" s="3">
        <f>$AB$8</f>
        <v>0</v>
      </c>
      <c r="AO13" s="143" t="str">
        <f>'12 Spieler'!$G$14</f>
        <v> </v>
      </c>
      <c r="AP13" s="3" t="str">
        <f>'12 Spieler'!$O$13</f>
        <v> </v>
      </c>
      <c r="AQ13" s="3" t="str">
        <f>'12 Spieler'!$W$12</f>
        <v> </v>
      </c>
      <c r="AR13" s="3" t="str">
        <f>'12 Spieler'!$I$23</f>
        <v> </v>
      </c>
      <c r="AS13" s="3" t="str">
        <f>'12 Spieler'!$Q$24</f>
        <v> </v>
      </c>
      <c r="AT13" s="3" t="str">
        <f>'12 Spieler'!$Y$25</f>
        <v> </v>
      </c>
      <c r="AU13" s="3" t="str">
        <f>'12 Spieler'!$I$36</f>
        <v> </v>
      </c>
      <c r="AV13" s="3" t="str">
        <f>'12 Spieler'!$Q$37</f>
        <v> </v>
      </c>
      <c r="AW13" s="3" t="str">
        <f>'12 Spieler'!$W$37</f>
        <v> </v>
      </c>
      <c r="AX13" s="3" t="str">
        <f>'12 Spieler'!$G$46</f>
        <v> </v>
      </c>
      <c r="AY13" s="3" t="str">
        <f>'12 Spieler'!$O$45</f>
        <v> </v>
      </c>
      <c r="AZ13" s="143" t="str">
        <f t="shared" si="22"/>
        <v> </v>
      </c>
      <c r="BA13" s="3" t="str">
        <f t="shared" si="0"/>
        <v> </v>
      </c>
      <c r="BB13" s="3" t="str">
        <f t="shared" si="1"/>
        <v> </v>
      </c>
      <c r="BC13" s="3" t="str">
        <f t="shared" si="2"/>
        <v> </v>
      </c>
      <c r="BD13" s="3" t="str">
        <f t="shared" si="3"/>
        <v> </v>
      </c>
      <c r="BE13" s="3" t="str">
        <f t="shared" si="4"/>
        <v> </v>
      </c>
      <c r="BF13" s="3" t="str">
        <f t="shared" si="5"/>
        <v> </v>
      </c>
      <c r="BG13" s="3" t="str">
        <f t="shared" si="6"/>
        <v> </v>
      </c>
      <c r="BH13" s="3" t="str">
        <f t="shared" si="7"/>
        <v> </v>
      </c>
      <c r="BI13" s="3" t="str">
        <f t="shared" si="8"/>
        <v> </v>
      </c>
      <c r="BJ13" s="3" t="str">
        <f t="shared" si="9"/>
        <v> </v>
      </c>
      <c r="BK13" s="145">
        <f t="shared" si="23"/>
        <v>0</v>
      </c>
      <c r="BL13" s="146">
        <f t="shared" si="10"/>
        <v>0</v>
      </c>
      <c r="BM13" s="146">
        <f t="shared" si="11"/>
        <v>0</v>
      </c>
      <c r="BN13" s="146">
        <f t="shared" si="12"/>
        <v>0</v>
      </c>
      <c r="BO13" s="146">
        <f t="shared" si="13"/>
        <v>0</v>
      </c>
      <c r="BP13" s="146">
        <f t="shared" si="14"/>
        <v>0</v>
      </c>
      <c r="BQ13" s="146">
        <f t="shared" si="15"/>
        <v>0</v>
      </c>
      <c r="BR13" s="146">
        <f t="shared" si="16"/>
        <v>0</v>
      </c>
      <c r="BS13" s="146">
        <f t="shared" si="17"/>
        <v>0</v>
      </c>
      <c r="BT13" s="146">
        <f t="shared" si="18"/>
        <v>0</v>
      </c>
      <c r="BU13" s="146">
        <f t="shared" si="19"/>
        <v>0</v>
      </c>
      <c r="BV13" s="147">
        <f t="shared" si="38"/>
        <v>0</v>
      </c>
      <c r="BW13" s="1">
        <f t="shared" si="24"/>
        <v>0</v>
      </c>
      <c r="BX13" s="137">
        <f t="shared" si="25"/>
        <v>15</v>
      </c>
      <c r="BY13" s="137">
        <f>IF(AI13=5,IF(CB13&gt;=BV13,AH13/2000,1),1)</f>
        <v>1</v>
      </c>
      <c r="BZ13" s="137">
        <f>IF(CB13&gt;=BV13,0,IF((IF(AI13=5,IF(AH13&lt;1300,(POWER(2.71828,(1300-AH13)/150))-1,0),0))&gt;150,150,IF(AI13=5,IF(AH13&lt;1300,(POWER(2.71828,(1300-AH13)/150))-1,0),0)))</f>
        <v>0</v>
      </c>
      <c r="CA13" s="137">
        <f t="shared" si="28"/>
        <v>15</v>
      </c>
      <c r="CB13" s="1">
        <f t="shared" si="29"/>
        <v>0</v>
      </c>
      <c r="CC13" s="1">
        <f t="shared" si="30"/>
        <v>0</v>
      </c>
      <c r="CD13" s="144"/>
    </row>
    <row r="14" spans="1:82" ht="19.5" customHeight="1">
      <c r="A14" s="2"/>
      <c r="B14" s="43">
        <f>IF(AND(D13=D14,E13=E14,F13=F14),"","10.")</f>
      </c>
      <c r="C14" s="64" t="str">
        <f t="shared" si="31"/>
        <v>Spieler 10</v>
      </c>
      <c r="D14" s="45">
        <f t="shared" si="32"/>
        <v>0</v>
      </c>
      <c r="E14" s="54">
        <f t="shared" si="33"/>
      </c>
      <c r="F14" s="60" t="str">
        <f t="shared" si="34"/>
        <v> </v>
      </c>
      <c r="I14" s="43">
        <f t="shared" si="35"/>
        <v>10</v>
      </c>
      <c r="J14" s="44" t="str">
        <f>'Kreuztabelle 12'!C32</f>
        <v>Spieler 10</v>
      </c>
      <c r="K14" s="45">
        <f>IF(COUNT('Kreuztabelle 12'!D32:'Kreuztabelle 12'!O32)&gt;0,COUNT('Kreuztabelle 12'!D32:'Kreuztabelle 12'!O32),0)</f>
        <v>0</v>
      </c>
      <c r="L14" s="54">
        <f>'Kreuztabelle 12'!Q32</f>
      </c>
      <c r="M14" s="60" t="str">
        <f>'Kreuztabelle 12'!P32</f>
        <v> </v>
      </c>
      <c r="N14">
        <f>IF(M14=" ",0.03,M14*100000+L14*1000-K14+0.03)</f>
        <v>0.03</v>
      </c>
      <c r="O14" s="62">
        <f t="shared" si="37"/>
        <v>12</v>
      </c>
      <c r="P14" s="62" t="e">
        <f>IF(AND(D13=D14,E13=E14,F13=F14),P13,10)</f>
        <v>#VALUE!</v>
      </c>
      <c r="Q14" s="63" t="e">
        <f t="shared" si="36"/>
        <v>#VALUE!</v>
      </c>
      <c r="R14" s="63" t="str">
        <f t="shared" si="21"/>
        <v> </v>
      </c>
      <c r="T14" s="1">
        <v>10</v>
      </c>
      <c r="AA14" t="str">
        <f>Eingabe!G6</f>
        <v>Spieler 11</v>
      </c>
      <c r="AB14" s="1">
        <f>IF(Eingabe!I6=" ",0,Eingabe!I6)</f>
        <v>0</v>
      </c>
      <c r="AC14" s="1">
        <f>IF(Eingabe!H6=5,5,IF(Eingabe!H6=10,10,15))</f>
        <v>15</v>
      </c>
      <c r="AD14" s="143">
        <f>$AB$5</f>
        <v>0</v>
      </c>
      <c r="AE14" s="3">
        <f>$AB$15</f>
        <v>0</v>
      </c>
      <c r="AF14" s="3">
        <f>$AB$12</f>
        <v>0</v>
      </c>
      <c r="AG14" s="3">
        <f>$AB$10</f>
        <v>0</v>
      </c>
      <c r="AH14" s="3">
        <f>$AB$8</f>
        <v>0</v>
      </c>
      <c r="AI14" s="3">
        <f>$AB$6</f>
        <v>0</v>
      </c>
      <c r="AJ14" s="3">
        <f>$AB$4</f>
        <v>0</v>
      </c>
      <c r="AK14" s="3">
        <f>$AB$13</f>
        <v>0</v>
      </c>
      <c r="AL14" s="3">
        <f>$AB$11</f>
        <v>0</v>
      </c>
      <c r="AM14" s="3">
        <f>$AB$9</f>
        <v>0</v>
      </c>
      <c r="AN14" s="3">
        <f>$AB$7</f>
        <v>0</v>
      </c>
      <c r="AO14" s="143" t="str">
        <f>'12 Spieler'!$G$13</f>
        <v> </v>
      </c>
      <c r="AP14" s="3" t="str">
        <f>'12 Spieler'!$O$12</f>
        <v> </v>
      </c>
      <c r="AQ14" s="3" t="str">
        <f>'12 Spieler'!$Y$13</f>
        <v> </v>
      </c>
      <c r="AR14" s="3" t="str">
        <f>'12 Spieler'!$I$24</f>
        <v> </v>
      </c>
      <c r="AS14" s="3" t="str">
        <f>'12 Spieler'!$Q$25</f>
        <v> </v>
      </c>
      <c r="AT14" s="3" t="str">
        <f>'12 Spieler'!$Y$26</f>
        <v> </v>
      </c>
      <c r="AU14" s="3" t="str">
        <f>'12 Spieler'!$I$37</f>
        <v> </v>
      </c>
      <c r="AV14" s="3" t="str">
        <f>'12 Spieler'!$O$37</f>
        <v> </v>
      </c>
      <c r="AW14" s="3" t="str">
        <f>'12 Spieler'!$W$36</f>
        <v> </v>
      </c>
      <c r="AX14" s="3" t="str">
        <f>'12 Spieler'!$G$45</f>
        <v> </v>
      </c>
      <c r="AY14" s="3" t="str">
        <f>'12 Spieler'!$O$44</f>
        <v> </v>
      </c>
      <c r="AZ14" s="143" t="str">
        <f t="shared" si="22"/>
        <v> </v>
      </c>
      <c r="BA14" s="3" t="str">
        <f t="shared" si="0"/>
        <v> </v>
      </c>
      <c r="BB14" s="3" t="str">
        <f t="shared" si="1"/>
        <v> </v>
      </c>
      <c r="BC14" s="3" t="str">
        <f t="shared" si="2"/>
        <v> </v>
      </c>
      <c r="BD14" s="3" t="str">
        <f t="shared" si="3"/>
        <v> </v>
      </c>
      <c r="BE14" s="3" t="str">
        <f t="shared" si="4"/>
        <v> </v>
      </c>
      <c r="BF14" s="3" t="str">
        <f t="shared" si="5"/>
        <v> </v>
      </c>
      <c r="BG14" s="3" t="str">
        <f t="shared" si="6"/>
        <v> </v>
      </c>
      <c r="BH14" s="3" t="str">
        <f t="shared" si="7"/>
        <v> </v>
      </c>
      <c r="BI14" s="3" t="str">
        <f t="shared" si="8"/>
        <v> </v>
      </c>
      <c r="BJ14" s="3" t="str">
        <f t="shared" si="9"/>
        <v> </v>
      </c>
      <c r="BK14" s="145">
        <f t="shared" si="23"/>
        <v>0</v>
      </c>
      <c r="BL14" s="146">
        <f t="shared" si="10"/>
        <v>0</v>
      </c>
      <c r="BM14" s="146">
        <f t="shared" si="11"/>
        <v>0</v>
      </c>
      <c r="BN14" s="146">
        <f t="shared" si="12"/>
        <v>0</v>
      </c>
      <c r="BO14" s="146">
        <f t="shared" si="13"/>
        <v>0</v>
      </c>
      <c r="BP14" s="146">
        <f t="shared" si="14"/>
        <v>0</v>
      </c>
      <c r="BQ14" s="146">
        <f t="shared" si="15"/>
        <v>0</v>
      </c>
      <c r="BR14" s="146">
        <f t="shared" si="16"/>
        <v>0</v>
      </c>
      <c r="BS14" s="146">
        <f t="shared" si="17"/>
        <v>0</v>
      </c>
      <c r="BT14" s="146">
        <f t="shared" si="18"/>
        <v>0</v>
      </c>
      <c r="BU14" s="146">
        <f t="shared" si="19"/>
        <v>0</v>
      </c>
      <c r="BV14" s="147">
        <f t="shared" si="38"/>
        <v>0</v>
      </c>
      <c r="BW14" s="1">
        <f t="shared" si="24"/>
        <v>0</v>
      </c>
      <c r="BX14" s="137">
        <f>POWER((AB14/1000),4)+AC14</f>
        <v>15</v>
      </c>
      <c r="BY14" s="137">
        <f>IF(AI14=5,IF(CB14&gt;=BV14,AH14/2000,1),1)</f>
        <v>1</v>
      </c>
      <c r="BZ14" s="137">
        <f>IF(CB14&gt;=BV14,0,IF((IF(AI14=5,IF(AH14&lt;1300,(POWER(2.71828,(1300-AH14)/150))-1,0),0))&gt;150,150,IF(AI14=5,IF(AH14&lt;1300,(POWER(2.71828,(1300-AH14)/150))-1,0),0)))</f>
        <v>0</v>
      </c>
      <c r="CA14" s="137">
        <f t="shared" si="28"/>
        <v>15</v>
      </c>
      <c r="CB14" s="1">
        <f t="shared" si="29"/>
        <v>0</v>
      </c>
      <c r="CC14" s="1">
        <f>IF(AB14=0,0,IF(BW14=0,AB14,ROUND(AB14+800*(CB14-BV14)/(CA14+BW14),0)))</f>
        <v>0</v>
      </c>
      <c r="CD14" s="144"/>
    </row>
    <row r="15" spans="1:82" ht="19.5" customHeight="1">
      <c r="A15" s="2"/>
      <c r="B15" s="43">
        <f>IF(AND(D14=D15,E14=E15,F14=F15),"","11.")</f>
      </c>
      <c r="C15" s="44" t="str">
        <f t="shared" si="31"/>
        <v>Spieler 11</v>
      </c>
      <c r="D15" s="45">
        <f t="shared" si="32"/>
        <v>0</v>
      </c>
      <c r="E15" s="54">
        <f t="shared" si="33"/>
      </c>
      <c r="F15" s="60" t="str">
        <f t="shared" si="34"/>
        <v> </v>
      </c>
      <c r="I15" s="43">
        <f t="shared" si="35"/>
        <v>11</v>
      </c>
      <c r="J15" s="44" t="str">
        <f>'Kreuztabelle 12'!C33</f>
        <v>Spieler 11</v>
      </c>
      <c r="K15" s="45">
        <f>IF(COUNT('Kreuztabelle 12'!D33:'Kreuztabelle 12'!O33)&gt;0,COUNT('Kreuztabelle 12'!D33:'Kreuztabelle 12'!O33),0)</f>
        <v>0</v>
      </c>
      <c r="L15" s="54">
        <f>'Kreuztabelle 12'!Q33</f>
      </c>
      <c r="M15" s="60" t="str">
        <f>'Kreuztabelle 12'!P33</f>
        <v> </v>
      </c>
      <c r="N15">
        <f>IF(M15=" ",0.02,M15*100000+L15*1000-K15+0.02)</f>
        <v>0.02</v>
      </c>
      <c r="O15" s="62">
        <f t="shared" si="37"/>
        <v>12</v>
      </c>
      <c r="P15" s="62" t="e">
        <f>IF(AND(D14=D15,E14=E15,F14=F15),P14,11)</f>
        <v>#VALUE!</v>
      </c>
      <c r="Q15" s="63" t="e">
        <f t="shared" si="36"/>
        <v>#VALUE!</v>
      </c>
      <c r="R15" s="63" t="str">
        <f t="shared" si="21"/>
        <v> </v>
      </c>
      <c r="T15" s="1">
        <v>11</v>
      </c>
      <c r="AA15" t="str">
        <f>Eingabe!G7</f>
        <v>Spieler 12 / spielfrei</v>
      </c>
      <c r="AB15" s="1">
        <f>IF(Eingabe!I7=" ",0,Eingabe!I7)</f>
        <v>0</v>
      </c>
      <c r="AC15" s="1">
        <f>IF(Eingabe!H7=5,5,IF(Eingabe!H7=10,10,15))</f>
        <v>15</v>
      </c>
      <c r="AD15" s="143">
        <f>$AB$4</f>
        <v>0</v>
      </c>
      <c r="AE15" s="3">
        <f>$AB$14</f>
        <v>0</v>
      </c>
      <c r="AF15" s="3">
        <f>$AB$13</f>
        <v>0</v>
      </c>
      <c r="AG15" s="3">
        <f>$AB$12</f>
        <v>0</v>
      </c>
      <c r="AH15" s="3">
        <f>$AB$11</f>
        <v>0</v>
      </c>
      <c r="AI15" s="3">
        <f>$AB$10</f>
        <v>0</v>
      </c>
      <c r="AJ15" s="3">
        <f>$AB$9</f>
        <v>0</v>
      </c>
      <c r="AK15" s="3">
        <f>$AB$8</f>
        <v>0</v>
      </c>
      <c r="AL15" s="3">
        <f>$AB$7</f>
        <v>0</v>
      </c>
      <c r="AM15" s="3">
        <f>$AB$6</f>
        <v>0</v>
      </c>
      <c r="AN15" s="3">
        <f>$AB$5</f>
        <v>0</v>
      </c>
      <c r="AO15" s="143" t="str">
        <f>'12 Spieler'!$I$12</f>
        <v> </v>
      </c>
      <c r="AP15" s="3" t="str">
        <f>'12 Spieler'!$Q$12</f>
        <v> </v>
      </c>
      <c r="AQ15" s="3" t="str">
        <f>'12 Spieler'!$Y$12</f>
        <v> </v>
      </c>
      <c r="AR15" s="3" t="str">
        <f>'12 Spieler'!$I$22</f>
        <v> </v>
      </c>
      <c r="AS15" s="3" t="str">
        <f>'12 Spieler'!$Q$22</f>
        <v> </v>
      </c>
      <c r="AT15" s="3" t="str">
        <f>'12 Spieler'!$Y$22</f>
        <v> </v>
      </c>
      <c r="AU15" s="3" t="str">
        <f>'12 Spieler'!$I$32</f>
        <v> </v>
      </c>
      <c r="AV15" s="3" t="str">
        <f>'12 Spieler'!$Q$32</f>
        <v> </v>
      </c>
      <c r="AW15" s="3" t="str">
        <f>'12 Spieler'!$Y$32</f>
        <v> </v>
      </c>
      <c r="AX15" s="3" t="str">
        <f>'12 Spieler'!$I$42</f>
        <v> </v>
      </c>
      <c r="AY15" s="3" t="str">
        <f>'12 Spieler'!$Q$42</f>
        <v> </v>
      </c>
      <c r="AZ15" s="143" t="str">
        <f t="shared" si="22"/>
        <v> </v>
      </c>
      <c r="BA15" s="3" t="str">
        <f t="shared" si="0"/>
        <v> </v>
      </c>
      <c r="BB15" s="3" t="str">
        <f t="shared" si="1"/>
        <v> </v>
      </c>
      <c r="BC15" s="3" t="str">
        <f t="shared" si="2"/>
        <v> </v>
      </c>
      <c r="BD15" s="3" t="str">
        <f t="shared" si="3"/>
        <v> </v>
      </c>
      <c r="BE15" s="3" t="str">
        <f t="shared" si="4"/>
        <v> </v>
      </c>
      <c r="BF15" s="3" t="str">
        <f t="shared" si="5"/>
        <v> </v>
      </c>
      <c r="BG15" s="3" t="str">
        <f t="shared" si="6"/>
        <v> </v>
      </c>
      <c r="BH15" s="3" t="str">
        <f t="shared" si="7"/>
        <v> </v>
      </c>
      <c r="BI15" s="3" t="str">
        <f>IF(AM15=0," ",AX15)</f>
        <v> </v>
      </c>
      <c r="BJ15" s="3" t="str">
        <f t="shared" si="9"/>
        <v> </v>
      </c>
      <c r="BK15" s="145">
        <f t="shared" si="23"/>
        <v>0</v>
      </c>
      <c r="BL15" s="146">
        <f t="shared" si="10"/>
        <v>0</v>
      </c>
      <c r="BM15" s="146">
        <f t="shared" si="11"/>
        <v>0</v>
      </c>
      <c r="BN15" s="146">
        <f t="shared" si="12"/>
        <v>0</v>
      </c>
      <c r="BO15" s="146">
        <f t="shared" si="13"/>
        <v>0</v>
      </c>
      <c r="BP15" s="146">
        <f t="shared" si="14"/>
        <v>0</v>
      </c>
      <c r="BQ15" s="146">
        <f t="shared" si="15"/>
        <v>0</v>
      </c>
      <c r="BR15" s="146">
        <f t="shared" si="16"/>
        <v>0</v>
      </c>
      <c r="BS15" s="146">
        <f t="shared" si="17"/>
        <v>0</v>
      </c>
      <c r="BT15" s="146">
        <f t="shared" si="18"/>
        <v>0</v>
      </c>
      <c r="BU15" s="146">
        <f t="shared" si="19"/>
        <v>0</v>
      </c>
      <c r="BV15" s="147">
        <f t="shared" si="38"/>
        <v>0</v>
      </c>
      <c r="BW15" s="1">
        <f t="shared" si="24"/>
        <v>0</v>
      </c>
      <c r="BX15" s="137">
        <f>POWER((AB15/1000),4)+AC15</f>
        <v>15</v>
      </c>
      <c r="BY15" s="137">
        <f>IF(AI15=5,IF(CB15&gt;=BV15,AH15/2000,1),1)</f>
        <v>1</v>
      </c>
      <c r="BZ15" s="137">
        <f>IF(CB15&gt;=BV15,0,IF((IF(AI15=5,IF(AH15&lt;1300,(POWER(2.71828,(1300-AH15)/150))-1,0),0))&gt;150,150,IF(AI15=5,IF(AH15&lt;1300,(POWER(2.71828,(1300-AH15)/150))-1,0),0)))</f>
        <v>0</v>
      </c>
      <c r="CA15" s="137">
        <f t="shared" si="28"/>
        <v>15</v>
      </c>
      <c r="CB15" s="1">
        <f t="shared" si="29"/>
        <v>0</v>
      </c>
      <c r="CC15" s="1">
        <f>IF(Eingabe!G7="spielfrei",-999,IF(AB15=0,0,IF(BW15=0,AB15,ROUND(AB15+800*(CB15-BV15)/(CA15+BW15),0))))</f>
        <v>0</v>
      </c>
      <c r="CD15" s="144"/>
    </row>
    <row r="16" spans="1:81" ht="19.5" customHeight="1" thickBot="1">
      <c r="A16" s="2"/>
      <c r="B16" s="46">
        <f>IF(Eingabe!G7="spielfrei","",IF(AND(D15=D16,E15=E16,F15=F16),"","12."))</f>
      </c>
      <c r="C16" s="47" t="str">
        <f t="shared" si="31"/>
        <v>Spieler 12 / spielfrei</v>
      </c>
      <c r="D16" s="48">
        <f t="shared" si="32"/>
        <v>0</v>
      </c>
      <c r="E16" s="55">
        <f t="shared" si="33"/>
      </c>
      <c r="F16" s="61" t="str">
        <f t="shared" si="34"/>
        <v> </v>
      </c>
      <c r="I16" s="46">
        <f t="shared" si="35"/>
        <v>12</v>
      </c>
      <c r="J16" s="47" t="str">
        <f>'Kreuztabelle 12'!C34</f>
        <v>Spieler 12 / spielfrei</v>
      </c>
      <c r="K16" s="48">
        <f>IF(COUNT('Kreuztabelle 12'!D34:'Kreuztabelle 12'!O34)&gt;0,COUNT('Kreuztabelle 12'!D34:'Kreuztabelle 12'!O34),0)</f>
        <v>0</v>
      </c>
      <c r="L16" s="55">
        <f>IF(Eingabe!G7="spielfrei",-0.001,'Kreuztabelle 12'!Q34)</f>
      </c>
      <c r="M16" s="61" t="str">
        <f>'Kreuztabelle 12'!P34</f>
        <v> </v>
      </c>
      <c r="N16">
        <f>IF(M16=" ",0.01,M16*100000+L16*1000-K16+0.01)</f>
        <v>0.01</v>
      </c>
      <c r="O16" s="62">
        <f t="shared" si="37"/>
        <v>12</v>
      </c>
      <c r="P16" s="62" t="e">
        <f>IF(AND(D15=D16,E15=E16,F15=F16),P15,12)</f>
        <v>#VALUE!</v>
      </c>
      <c r="Q16" s="63" t="e">
        <f>IF(O16=1,P16&amp;".",P16&amp;".- "&amp;(P16+O16-1)&amp;".")</f>
        <v>#VALUE!</v>
      </c>
      <c r="R16" s="63" t="str">
        <f t="shared" si="21"/>
        <v> </v>
      </c>
      <c r="T16" s="1">
        <v>12</v>
      </c>
      <c r="AA16" s="148"/>
      <c r="AB16" s="149"/>
      <c r="AC16" s="149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</row>
    <row r="17" spans="2:10" ht="19.5" customHeight="1">
      <c r="B17" s="2"/>
      <c r="C17" s="2"/>
      <c r="I17" s="2"/>
      <c r="J17" s="2"/>
    </row>
    <row r="18" ht="19.5" customHeight="1"/>
    <row r="19" ht="19.5" customHeight="1" thickBot="1"/>
    <row r="20" spans="2:13" ht="19.5" customHeight="1">
      <c r="B20" s="37"/>
      <c r="C20" s="77" t="s">
        <v>69</v>
      </c>
      <c r="D20" s="39"/>
      <c r="E20" s="39"/>
      <c r="F20" s="40"/>
      <c r="I20" s="37"/>
      <c r="J20" s="38"/>
      <c r="K20" s="39"/>
      <c r="L20" s="39"/>
      <c r="M20" s="40"/>
    </row>
    <row r="21" spans="2:13" ht="19.5" customHeight="1">
      <c r="B21" s="41"/>
      <c r="C21" s="78" t="str">
        <f>J21</f>
        <v>Stand nach der 0. Runde</v>
      </c>
      <c r="D21" s="42"/>
      <c r="E21" s="150" t="s">
        <v>70</v>
      </c>
      <c r="F21" s="52" t="s">
        <v>71</v>
      </c>
      <c r="I21" s="41"/>
      <c r="J21" s="36" t="str">
        <f>IF(EXACT("spielfrei",Eingabe!G24)=TRUE,Q4,R4)</f>
        <v>Stand nach der 0. Runde</v>
      </c>
      <c r="K21" s="42"/>
      <c r="L21" s="150" t="s">
        <v>70</v>
      </c>
      <c r="M21" s="52" t="s">
        <v>71</v>
      </c>
    </row>
    <row r="22" spans="2:20" ht="19.5" customHeight="1">
      <c r="B22" s="43" t="str">
        <f>IF(SUM(E22:E33)=0," ","1.")</f>
        <v> </v>
      </c>
      <c r="C22" s="44" t="str">
        <f>VLOOKUP($T22,$I$22:$M$33,2,FALSE)</f>
        <v>Spieler 1</v>
      </c>
      <c r="D22" s="45">
        <f>VLOOKUP($T22,$I$22:$M$33,3,FALSE)</f>
        <v>0</v>
      </c>
      <c r="E22" s="151">
        <f>VLOOKUP($T22,$I$22:$M$33,4,FALSE)</f>
        <v>0</v>
      </c>
      <c r="F22" s="152">
        <f>VLOOKUP($T22,$I$22:$M$33,5,FALSE)</f>
        <v>0</v>
      </c>
      <c r="I22" s="43">
        <f>RANK(N22,$N$22:$N$33,0)</f>
        <v>1</v>
      </c>
      <c r="J22" s="44" t="str">
        <f>'Kreuztabelle 12'!C23</f>
        <v>Spieler 1</v>
      </c>
      <c r="K22" s="45">
        <f>IF(COUNT('Kreuztabelle 12'!D23:'Kreuztabelle 12'!O23)&gt;0,COUNT('Kreuztabelle 12'!D23:'Kreuztabelle 12'!O23),0)</f>
        <v>0</v>
      </c>
      <c r="L22" s="151">
        <f>CC4</f>
        <v>0</v>
      </c>
      <c r="M22" s="152">
        <f>CC4-AB4</f>
        <v>0</v>
      </c>
      <c r="N22">
        <f>IF(M22=" ",0.1,M22*10000+L22+0.2)</f>
        <v>0.2</v>
      </c>
      <c r="O22" s="62">
        <f>COUNTIF($P$5:$P$12,P22)</f>
        <v>0</v>
      </c>
      <c r="P22" s="62" t="str">
        <f>IF((D22+E22+F22)=0," ",1)</f>
        <v> </v>
      </c>
      <c r="T22" s="1">
        <v>1</v>
      </c>
    </row>
    <row r="23" spans="2:20" ht="19.5" customHeight="1">
      <c r="B23" s="43">
        <f>IF(AND(D22=D23,E22=E23,F22=F23),"","2.")</f>
      </c>
      <c r="C23" s="44" t="str">
        <f aca="true" t="shared" si="39" ref="C23:C32">VLOOKUP($T23,$I$22:$M$33,2,FALSE)</f>
        <v>Spieler 2</v>
      </c>
      <c r="D23" s="45">
        <f aca="true" t="shared" si="40" ref="D23:D32">VLOOKUP($T23,$I$22:$M$33,3,FALSE)</f>
        <v>0</v>
      </c>
      <c r="E23" s="151">
        <f aca="true" t="shared" si="41" ref="E23:E32">VLOOKUP($T23,$I$22:$M$33,4,FALSE)</f>
        <v>0</v>
      </c>
      <c r="F23" s="152">
        <f aca="true" t="shared" si="42" ref="F23:F32">VLOOKUP($T23,$I$22:$M$33,5,FALSE)</f>
        <v>0</v>
      </c>
      <c r="I23" s="43">
        <f aca="true" t="shared" si="43" ref="I23:I33">RANK(N23,$N$22:$N$33,0)</f>
        <v>2</v>
      </c>
      <c r="J23" s="44" t="str">
        <f>'Kreuztabelle 12'!C24</f>
        <v>Spieler 2</v>
      </c>
      <c r="K23" s="45">
        <f>IF(COUNT('Kreuztabelle 12'!D24:'Kreuztabelle 12'!O24)&gt;0,COUNT('Kreuztabelle 12'!D24:'Kreuztabelle 12'!O24),0)</f>
        <v>0</v>
      </c>
      <c r="L23" s="151">
        <f aca="true" t="shared" si="44" ref="L23:L33">CC5</f>
        <v>0</v>
      </c>
      <c r="M23" s="152">
        <f aca="true" t="shared" si="45" ref="M23:M33">CC5-AB5</f>
        <v>0</v>
      </c>
      <c r="N23">
        <f>IF(M23=" ",0.1,M23*10000+L23+0.19)</f>
        <v>0.19</v>
      </c>
      <c r="O23" s="62">
        <f aca="true" t="shared" si="46" ref="O23:O31">COUNTIF($P$5:$P$12,P23)</f>
        <v>0</v>
      </c>
      <c r="P23" s="62" t="str">
        <f>IF(AND(D22=D23,E22=E23,F22=F23),P22,2)</f>
        <v> </v>
      </c>
      <c r="T23" s="1">
        <v>2</v>
      </c>
    </row>
    <row r="24" spans="2:20" ht="19.5" customHeight="1">
      <c r="B24" s="43">
        <f>IF(AND(D23=D24,E23=E24,F23=F24),"","3.")</f>
      </c>
      <c r="C24" s="44" t="str">
        <f t="shared" si="39"/>
        <v>Spieler 3</v>
      </c>
      <c r="D24" s="45">
        <f t="shared" si="40"/>
        <v>0</v>
      </c>
      <c r="E24" s="151">
        <f t="shared" si="41"/>
        <v>0</v>
      </c>
      <c r="F24" s="152">
        <f t="shared" si="42"/>
        <v>0</v>
      </c>
      <c r="I24" s="43">
        <f t="shared" si="43"/>
        <v>3</v>
      </c>
      <c r="J24" s="44" t="str">
        <f>'Kreuztabelle 12'!C25</f>
        <v>Spieler 3</v>
      </c>
      <c r="K24" s="45">
        <f>IF(COUNT('Kreuztabelle 12'!D25:'Kreuztabelle 12'!O25)&gt;0,COUNT('Kreuztabelle 12'!D25:'Kreuztabelle 12'!O25),0)</f>
        <v>0</v>
      </c>
      <c r="L24" s="151">
        <f t="shared" si="44"/>
        <v>0</v>
      </c>
      <c r="M24" s="152">
        <f t="shared" si="45"/>
        <v>0</v>
      </c>
      <c r="N24">
        <f>IF(M24=" ",0.1,M24*10000+L24+0.18)</f>
        <v>0.18</v>
      </c>
      <c r="O24" s="62">
        <f t="shared" si="46"/>
        <v>0</v>
      </c>
      <c r="P24" s="62" t="str">
        <f>IF(AND(D23=D24,E23=E24,F23=F24),P23,3)</f>
        <v> </v>
      </c>
      <c r="T24" s="1">
        <v>3</v>
      </c>
    </row>
    <row r="25" spans="2:20" ht="19.5" customHeight="1">
      <c r="B25" s="43">
        <f>IF(AND(D24=D25,E24=E25,F24=F25),"","4.")</f>
      </c>
      <c r="C25" s="44" t="str">
        <f t="shared" si="39"/>
        <v>Spieler 4</v>
      </c>
      <c r="D25" s="45">
        <f t="shared" si="40"/>
        <v>0</v>
      </c>
      <c r="E25" s="151">
        <f t="shared" si="41"/>
        <v>0</v>
      </c>
      <c r="F25" s="152">
        <f t="shared" si="42"/>
        <v>0</v>
      </c>
      <c r="I25" s="43">
        <f t="shared" si="43"/>
        <v>4</v>
      </c>
      <c r="J25" s="44" t="str">
        <f>'Kreuztabelle 12'!C26</f>
        <v>Spieler 4</v>
      </c>
      <c r="K25" s="45">
        <f>IF(COUNT('Kreuztabelle 12'!D26:'Kreuztabelle 12'!O26)&gt;0,COUNT('Kreuztabelle 12'!D26:'Kreuztabelle 12'!O26),0)</f>
        <v>0</v>
      </c>
      <c r="L25" s="151">
        <f t="shared" si="44"/>
        <v>0</v>
      </c>
      <c r="M25" s="152">
        <f t="shared" si="45"/>
        <v>0</v>
      </c>
      <c r="N25">
        <f>IF(M25=" ",0.1,M25*10000+L25+0.17)</f>
        <v>0.17</v>
      </c>
      <c r="O25" s="62">
        <f t="shared" si="46"/>
        <v>0</v>
      </c>
      <c r="P25" s="62" t="str">
        <f>IF(AND(D24=D25,E24=E25,F24=F25),P24,4)</f>
        <v> </v>
      </c>
      <c r="T25" s="1">
        <v>4</v>
      </c>
    </row>
    <row r="26" spans="2:20" ht="19.5" customHeight="1">
      <c r="B26" s="43">
        <f>IF(AND(D25=D26,E25=E26,F25=F26),"","5.")</f>
      </c>
      <c r="C26" s="44" t="str">
        <f t="shared" si="39"/>
        <v>Spieler 5</v>
      </c>
      <c r="D26" s="45">
        <f t="shared" si="40"/>
        <v>0</v>
      </c>
      <c r="E26" s="151">
        <f t="shared" si="41"/>
        <v>0</v>
      </c>
      <c r="F26" s="152">
        <f t="shared" si="42"/>
        <v>0</v>
      </c>
      <c r="I26" s="43">
        <f t="shared" si="43"/>
        <v>5</v>
      </c>
      <c r="J26" s="44" t="str">
        <f>'Kreuztabelle 12'!C27</f>
        <v>Spieler 5</v>
      </c>
      <c r="K26" s="45">
        <f>IF(COUNT('Kreuztabelle 12'!D27:'Kreuztabelle 12'!O27)&gt;0,COUNT('Kreuztabelle 12'!D27:'Kreuztabelle 12'!O27),0)</f>
        <v>0</v>
      </c>
      <c r="L26" s="151">
        <f t="shared" si="44"/>
        <v>0</v>
      </c>
      <c r="M26" s="152">
        <f t="shared" si="45"/>
        <v>0</v>
      </c>
      <c r="N26">
        <f>IF(M26=" ",0.1,M26*10000+L26+0.16)</f>
        <v>0.16</v>
      </c>
      <c r="O26" s="62">
        <f t="shared" si="46"/>
        <v>0</v>
      </c>
      <c r="P26" s="62" t="str">
        <f>IF(AND(D25=D26,E25=E26,F25=F26),P25,5)</f>
        <v> </v>
      </c>
      <c r="T26" s="1">
        <v>5</v>
      </c>
    </row>
    <row r="27" spans="2:20" ht="19.5" customHeight="1">
      <c r="B27" s="43">
        <f>IF(AND(D26=D27,E26=E27,F26=F27),"","6.")</f>
      </c>
      <c r="C27" s="44" t="str">
        <f t="shared" si="39"/>
        <v>Spieler 6</v>
      </c>
      <c r="D27" s="45">
        <f t="shared" si="40"/>
        <v>0</v>
      </c>
      <c r="E27" s="151">
        <f t="shared" si="41"/>
        <v>0</v>
      </c>
      <c r="F27" s="152">
        <f t="shared" si="42"/>
        <v>0</v>
      </c>
      <c r="I27" s="43">
        <f t="shared" si="43"/>
        <v>6</v>
      </c>
      <c r="J27" s="44" t="str">
        <f>'Kreuztabelle 12'!C28</f>
        <v>Spieler 6</v>
      </c>
      <c r="K27" s="45">
        <f>IF(COUNT('Kreuztabelle 12'!D28:'Kreuztabelle 12'!O28)&gt;0,COUNT('Kreuztabelle 12'!D28:'Kreuztabelle 12'!O28),0)</f>
        <v>0</v>
      </c>
      <c r="L27" s="151">
        <f t="shared" si="44"/>
        <v>0</v>
      </c>
      <c r="M27" s="152">
        <f t="shared" si="45"/>
        <v>0</v>
      </c>
      <c r="N27">
        <f>IF(M27=" ",0.1,M27*10000+L27+0.15)</f>
        <v>0.15</v>
      </c>
      <c r="O27" s="62">
        <f t="shared" si="46"/>
        <v>0</v>
      </c>
      <c r="P27" s="62" t="str">
        <f>IF(AND(D26=D27,E26=E27,F26=F27),P26,6)</f>
        <v> </v>
      </c>
      <c r="T27" s="1">
        <v>6</v>
      </c>
    </row>
    <row r="28" spans="2:20" ht="19.5" customHeight="1">
      <c r="B28" s="43">
        <f>IF(AND(D27=D28,E27=E28,F27=F28),"","7.")</f>
      </c>
      <c r="C28" s="44" t="str">
        <f t="shared" si="39"/>
        <v>Spieler 7</v>
      </c>
      <c r="D28" s="45">
        <f t="shared" si="40"/>
        <v>0</v>
      </c>
      <c r="E28" s="151">
        <f t="shared" si="41"/>
        <v>0</v>
      </c>
      <c r="F28" s="152">
        <f t="shared" si="42"/>
        <v>0</v>
      </c>
      <c r="I28" s="43">
        <f t="shared" si="43"/>
        <v>7</v>
      </c>
      <c r="J28" s="44" t="str">
        <f>'Kreuztabelle 12'!C29</f>
        <v>Spieler 7</v>
      </c>
      <c r="K28" s="45">
        <f>IF(COUNT('Kreuztabelle 12'!D29:'Kreuztabelle 12'!O29)&gt;0,COUNT('Kreuztabelle 12'!D29:'Kreuztabelle 12'!O29),0)</f>
        <v>0</v>
      </c>
      <c r="L28" s="151">
        <f t="shared" si="44"/>
        <v>0</v>
      </c>
      <c r="M28" s="152">
        <f t="shared" si="45"/>
        <v>0</v>
      </c>
      <c r="N28">
        <f>IF(M28=" ",0.1,M28*10000+L28+0.14)</f>
        <v>0.14</v>
      </c>
      <c r="O28" s="62">
        <f t="shared" si="46"/>
        <v>0</v>
      </c>
      <c r="P28" s="62" t="str">
        <f>IF(AND(D27=D28,E27=E28,F27=F28),P27,7)</f>
        <v> </v>
      </c>
      <c r="T28" s="1">
        <v>7</v>
      </c>
    </row>
    <row r="29" spans="2:20" ht="19.5" customHeight="1">
      <c r="B29" s="43">
        <f>IF(AND(D28=D29,E28=E29,F28=F29),"","8.")</f>
      </c>
      <c r="C29" s="44" t="str">
        <f t="shared" si="39"/>
        <v>Spieler 8</v>
      </c>
      <c r="D29" s="45">
        <f t="shared" si="40"/>
        <v>0</v>
      </c>
      <c r="E29" s="151">
        <f t="shared" si="41"/>
        <v>0</v>
      </c>
      <c r="F29" s="152">
        <f t="shared" si="42"/>
        <v>0</v>
      </c>
      <c r="I29" s="43">
        <f t="shared" si="43"/>
        <v>8</v>
      </c>
      <c r="J29" s="44" t="str">
        <f>'Kreuztabelle 12'!C30</f>
        <v>Spieler 8</v>
      </c>
      <c r="K29" s="45">
        <f>IF(COUNT('Kreuztabelle 12'!D30:'Kreuztabelle 12'!O30)&gt;0,COUNT('Kreuztabelle 12'!D30:'Kreuztabelle 12'!O30),0)</f>
        <v>0</v>
      </c>
      <c r="L29" s="151">
        <f t="shared" si="44"/>
        <v>0</v>
      </c>
      <c r="M29" s="152">
        <f t="shared" si="45"/>
        <v>0</v>
      </c>
      <c r="N29">
        <f>IF(M29=" ",0.1,M29*10000+L29+0.13)</f>
        <v>0.13</v>
      </c>
      <c r="O29" s="62">
        <f t="shared" si="46"/>
        <v>0</v>
      </c>
      <c r="P29" s="62" t="str">
        <f>IF(AND(D28=D29,E28=E29,F28=F29),P28,8)</f>
        <v> </v>
      </c>
      <c r="T29" s="1">
        <v>8</v>
      </c>
    </row>
    <row r="30" spans="2:20" ht="19.5" customHeight="1">
      <c r="B30" s="43">
        <f>IF(AND(D29=D30,E29=E30,F29=F30),"","9.")</f>
      </c>
      <c r="C30" s="44" t="str">
        <f t="shared" si="39"/>
        <v>Spieler 9</v>
      </c>
      <c r="D30" s="45">
        <f t="shared" si="40"/>
        <v>0</v>
      </c>
      <c r="E30" s="151">
        <f t="shared" si="41"/>
        <v>0</v>
      </c>
      <c r="F30" s="152">
        <f t="shared" si="42"/>
        <v>0</v>
      </c>
      <c r="I30" s="43">
        <f t="shared" si="43"/>
        <v>9</v>
      </c>
      <c r="J30" s="44" t="str">
        <f>'Kreuztabelle 12'!C31</f>
        <v>Spieler 9</v>
      </c>
      <c r="K30" s="45">
        <f>IF(COUNT('Kreuztabelle 12'!D31:'Kreuztabelle 12'!O31)&gt;0,COUNT('Kreuztabelle 12'!D31:'Kreuztabelle 12'!O31),0)</f>
        <v>0</v>
      </c>
      <c r="L30" s="151">
        <f t="shared" si="44"/>
        <v>0</v>
      </c>
      <c r="M30" s="152">
        <f t="shared" si="45"/>
        <v>0</v>
      </c>
      <c r="N30">
        <f>IF(M30=" ",0.1,M30*10000+L30+0.12)</f>
        <v>0.12</v>
      </c>
      <c r="O30" s="62">
        <f t="shared" si="46"/>
        <v>0</v>
      </c>
      <c r="P30" s="62" t="str">
        <f>IF(AND(D29=D30,E29=E30,F29=F30),P29,9)</f>
        <v> </v>
      </c>
      <c r="T30" s="1">
        <v>9</v>
      </c>
    </row>
    <row r="31" spans="2:20" ht="19.5" customHeight="1">
      <c r="B31" s="43">
        <f>IF(AND(D30=D31,E30=E31,F30=F31),"","10.")</f>
      </c>
      <c r="C31" s="44" t="str">
        <f t="shared" si="39"/>
        <v>Spieler 10</v>
      </c>
      <c r="D31" s="45">
        <f t="shared" si="40"/>
        <v>0</v>
      </c>
      <c r="E31" s="151">
        <f t="shared" si="41"/>
        <v>0</v>
      </c>
      <c r="F31" s="152">
        <f t="shared" si="42"/>
        <v>0</v>
      </c>
      <c r="I31" s="43">
        <f t="shared" si="43"/>
        <v>10</v>
      </c>
      <c r="J31" s="44" t="str">
        <f>'Kreuztabelle 12'!C32</f>
        <v>Spieler 10</v>
      </c>
      <c r="K31" s="45">
        <f>IF(COUNT('Kreuztabelle 12'!D32:'Kreuztabelle 12'!O32)&gt;0,COUNT('Kreuztabelle 12'!D32:'Kreuztabelle 12'!O32),0)</f>
        <v>0</v>
      </c>
      <c r="L31" s="151">
        <f t="shared" si="44"/>
        <v>0</v>
      </c>
      <c r="M31" s="152">
        <f t="shared" si="45"/>
        <v>0</v>
      </c>
      <c r="N31">
        <f>IF(M31=" ",0.1,M31*10000+L31+0.11)</f>
        <v>0.11</v>
      </c>
      <c r="O31" s="62">
        <f t="shared" si="46"/>
        <v>0</v>
      </c>
      <c r="P31" s="62" t="str">
        <f>IF(AND(D30=D31,E30=E31,F30=F31),P30,10)</f>
        <v> </v>
      </c>
      <c r="T31" s="1">
        <v>10</v>
      </c>
    </row>
    <row r="32" spans="2:20" ht="19.5" customHeight="1">
      <c r="B32" s="43">
        <f>IF(AND(D31=D32,E31=E32,F31=F32),"","11.")</f>
      </c>
      <c r="C32" s="44" t="str">
        <f t="shared" si="39"/>
        <v>Spieler 11</v>
      </c>
      <c r="D32" s="45">
        <f t="shared" si="40"/>
        <v>0</v>
      </c>
      <c r="E32" s="151">
        <f t="shared" si="41"/>
        <v>0</v>
      </c>
      <c r="F32" s="152">
        <f t="shared" si="42"/>
        <v>0</v>
      </c>
      <c r="I32" s="43">
        <f t="shared" si="43"/>
        <v>11</v>
      </c>
      <c r="J32" s="44" t="str">
        <f>'Kreuztabelle 12'!C33</f>
        <v>Spieler 11</v>
      </c>
      <c r="K32" s="45">
        <f>IF(COUNT('Kreuztabelle 12'!D33:'Kreuztabelle 12'!O33)&gt;0,COUNT('Kreuztabelle 12'!D33:'Kreuztabelle 12'!O33),0)</f>
        <v>0</v>
      </c>
      <c r="L32" s="151">
        <f t="shared" si="44"/>
        <v>0</v>
      </c>
      <c r="M32" s="152">
        <f t="shared" si="45"/>
        <v>0</v>
      </c>
      <c r="N32">
        <f>IF(M32=" ",0.1,M32*10000+L32+0.1)</f>
        <v>0.1</v>
      </c>
      <c r="O32" s="62">
        <f>COUNTIF($P$5:$P$12,P32)</f>
        <v>0</v>
      </c>
      <c r="P32" s="62" t="str">
        <f>IF(AND(D31=D32,E31=E32,F31=F32),P31,10)</f>
        <v> </v>
      </c>
      <c r="T32" s="1">
        <v>11</v>
      </c>
    </row>
    <row r="33" spans="2:20" ht="19.5" customHeight="1" thickBot="1">
      <c r="B33" s="46">
        <f>IF(Eingabe!G24="spielfrei","",IF(AND(D32=D33,E32=E33,F32=F33),"","12."))</f>
      </c>
      <c r="C33" s="47" t="str">
        <f>IF(Eingabe!G7="spielfrei","",VLOOKUP($T33,$I$22:$M$33,2,FALSE))</f>
        <v>Spieler 12 / spielfrei</v>
      </c>
      <c r="D33" s="48">
        <f>IF(Eingabe!G7="spielfrei","",VLOOKUP($T33,$I$22:$M$33,3,FALSE))</f>
        <v>0</v>
      </c>
      <c r="E33" s="153">
        <f>IF(Eingabe!G7="spielfrei","",VLOOKUP($T33,$I$22:$M$33,4,FALSE))</f>
        <v>0</v>
      </c>
      <c r="F33" s="154">
        <f>IF(Eingabe!G7="spielfrei","",VLOOKUP($T33,$I$22:$M$33,5,FALSE))</f>
        <v>0</v>
      </c>
      <c r="I33" s="46">
        <f t="shared" si="43"/>
        <v>12</v>
      </c>
      <c r="J33" s="47" t="str">
        <f>'Kreuztabelle 12'!C34</f>
        <v>Spieler 12 / spielfrei</v>
      </c>
      <c r="K33" s="48">
        <f>IF(COUNT('Kreuztabelle 12'!D34:'Kreuztabelle 12'!O34)&gt;0,COUNT('Kreuztabelle 12'!D34:'Kreuztabelle 12'!O34),0)</f>
        <v>0</v>
      </c>
      <c r="L33" s="153">
        <f t="shared" si="44"/>
        <v>0</v>
      </c>
      <c r="M33" s="154">
        <f t="shared" si="45"/>
        <v>0</v>
      </c>
      <c r="N33">
        <f>IF(M33=" ",0.1,M33*10000+L33+0.09)</f>
        <v>0.09</v>
      </c>
      <c r="O33" s="62">
        <f>COUNTIF($P$5:$P$12,P33)</f>
        <v>0</v>
      </c>
      <c r="P33" s="62" t="str">
        <f>IF(AND(D32=D33,E32=E33,F32=F33),P32,10)</f>
        <v> </v>
      </c>
      <c r="T33" s="1">
        <v>12</v>
      </c>
    </row>
  </sheetData>
  <mergeCells count="4">
    <mergeCell ref="AD2:AN2"/>
    <mergeCell ref="AO2:AY2"/>
    <mergeCell ref="AZ2:BJ2"/>
    <mergeCell ref="BK2:BU2"/>
  </mergeCells>
  <conditionalFormatting sqref="C4 C21">
    <cfRule type="expression" priority="1" dxfId="0" stopIfTrue="1">
      <formula>$C$4="Stand nach der 0. Runde"</formula>
    </cfRule>
  </conditionalFormatting>
  <conditionalFormatting sqref="B16:F16 B33">
    <cfRule type="expression" priority="2" dxfId="0" stopIfTrue="1">
      <formula>$C$16="spielfrei"</formula>
    </cfRule>
  </conditionalFormatting>
  <conditionalFormatting sqref="F22:F33">
    <cfRule type="cellIs" priority="3" dxfId="2" operator="greaterThan" stopIfTrue="1">
      <formula>0</formula>
    </cfRule>
    <cfRule type="cellIs" priority="4" dxfId="3" operator="lessThan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Einstein</cp:lastModifiedBy>
  <cp:lastPrinted>2013-01-06T07:44:48Z</cp:lastPrinted>
  <dcterms:created xsi:type="dcterms:W3CDTF">2008-06-10T12:32:27Z</dcterms:created>
  <dcterms:modified xsi:type="dcterms:W3CDTF">2020-02-08T04:45:44Z</dcterms:modified>
  <cp:category/>
  <cp:version/>
  <cp:contentType/>
  <cp:contentStatus/>
</cp:coreProperties>
</file>