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" windowWidth="9255" windowHeight="13155" activeTab="0"/>
  </bookViews>
  <sheets>
    <sheet name="Eingabe" sheetId="1" r:id="rId1"/>
    <sheet name="8 Spieler" sheetId="2" r:id="rId2"/>
    <sheet name="Kreuztabelle 8" sheetId="3" r:id="rId3"/>
    <sheet name="Tabelle 8" sheetId="4" r:id="rId4"/>
  </sheets>
  <definedNames>
    <definedName name="_xlnm.Print_Area" localSheetId="1">'8 Spieler'!$A$1:$Y$32</definedName>
    <definedName name="_xlnm.Print_Area" localSheetId="2">'Kreuztabelle 8'!$A$2:$O$13</definedName>
    <definedName name="_xlnm.Print_Area" localSheetId="3">'Tabelle 8'!$A$1:$G$26</definedName>
  </definedNames>
  <calcPr fullCalcOnLoad="1"/>
</workbook>
</file>

<file path=xl/sharedStrings.xml><?xml version="1.0" encoding="utf-8"?>
<sst xmlns="http://schemas.openxmlformats.org/spreadsheetml/2006/main" count="221" uniqueCount="71">
  <si>
    <t xml:space="preserve">Eingabe Turnier </t>
  </si>
  <si>
    <t>:</t>
  </si>
  <si>
    <t>z.B. Monatsblitzturnier</t>
  </si>
  <si>
    <t>Spieler 1</t>
  </si>
  <si>
    <t>Spieler 2</t>
  </si>
  <si>
    <t>Spieler 3</t>
  </si>
  <si>
    <t>Spieler 4</t>
  </si>
  <si>
    <t>Spieler 5</t>
  </si>
  <si>
    <t>Spieler 6</t>
  </si>
  <si>
    <t>Spieler 7</t>
  </si>
  <si>
    <t>vom :</t>
  </si>
  <si>
    <t>1. Runde</t>
  </si>
  <si>
    <t>2. Runde</t>
  </si>
  <si>
    <t>3. Runde</t>
  </si>
  <si>
    <t xml:space="preserve"> </t>
  </si>
  <si>
    <t>4. Runde</t>
  </si>
  <si>
    <t>5. Runde</t>
  </si>
  <si>
    <t>6. Runde</t>
  </si>
  <si>
    <t>7. Runde</t>
  </si>
  <si>
    <t>Nr.</t>
  </si>
  <si>
    <t>Spieler</t>
  </si>
  <si>
    <t>Punkte</t>
  </si>
  <si>
    <t>Sonn/Berg</t>
  </si>
  <si>
    <t>Platz</t>
  </si>
  <si>
    <t>Tabelle</t>
  </si>
  <si>
    <t>Runde</t>
  </si>
  <si>
    <t>Weiß</t>
  </si>
  <si>
    <t>Schwarz</t>
  </si>
  <si>
    <t>Sitzplan der</t>
  </si>
  <si>
    <t>Ergebnis</t>
  </si>
  <si>
    <t>eine Runde vorgewählt werden.</t>
  </si>
  <si>
    <t xml:space="preserve">Im Feld "G1" kann im Tabellenblatt "8 Spieler" </t>
  </si>
  <si>
    <t>Rangfolge</t>
  </si>
  <si>
    <t>Datum</t>
  </si>
  <si>
    <t>??.??.????</t>
  </si>
  <si>
    <t xml:space="preserve">Die Paarungen entsprechen dem Sitzplan / die Farbverteilung für die einzelnen Runden wird nur oben angezeigt! </t>
  </si>
  <si>
    <t>J = Alterskonstante (bis 20 = 5; 21 bis 25 = 10; ab 26 = 15)</t>
  </si>
  <si>
    <t>Name</t>
  </si>
  <si>
    <t>J</t>
  </si>
  <si>
    <t>DWZ</t>
  </si>
  <si>
    <t xml:space="preserve">DWZ der Gegner der </t>
  </si>
  <si>
    <t xml:space="preserve">Ergebnisse der </t>
  </si>
  <si>
    <t>Berechnung von p für jedes Spiel</t>
  </si>
  <si>
    <t>We</t>
  </si>
  <si>
    <t>n</t>
  </si>
  <si>
    <r>
      <t>E</t>
    </r>
    <r>
      <rPr>
        <b/>
        <sz val="6"/>
        <rFont val="Arial"/>
        <family val="2"/>
      </rPr>
      <t>0</t>
    </r>
  </si>
  <si>
    <r>
      <t>f</t>
    </r>
    <r>
      <rPr>
        <b/>
        <sz val="6"/>
        <rFont val="Arial"/>
        <family val="2"/>
      </rPr>
      <t>B</t>
    </r>
  </si>
  <si>
    <r>
      <t>S</t>
    </r>
    <r>
      <rPr>
        <b/>
        <sz val="6"/>
        <rFont val="Arial"/>
        <family val="2"/>
      </rPr>
      <t>Br</t>
    </r>
  </si>
  <si>
    <t>E</t>
  </si>
  <si>
    <t>W</t>
  </si>
  <si>
    <t>Summe p</t>
  </si>
  <si>
    <t>gespielte Partien</t>
  </si>
  <si>
    <t>Berechnung</t>
  </si>
  <si>
    <t>Beschleunigung</t>
  </si>
  <si>
    <t>Bremse</t>
  </si>
  <si>
    <t>(wird gerundet)</t>
  </si>
  <si>
    <t>geholte Punkte</t>
  </si>
  <si>
    <t>Neue DWZ</t>
  </si>
  <si>
    <t>DWZ Tabelle :-)</t>
  </si>
  <si>
    <t>DWZ neu</t>
  </si>
  <si>
    <t xml:space="preserve"> + / - </t>
  </si>
  <si>
    <t>Ergebnisse der Spieler mit DWZ</t>
  </si>
  <si>
    <t>Wenn für J kein Wert eingetragen wird, wird dieser auf 15 gesetzt.</t>
  </si>
  <si>
    <t>Eingabe Spieler</t>
  </si>
  <si>
    <t>Informationen:</t>
  </si>
  <si>
    <t>Diese Tabelle ist für 7 oder 8 Spieler gemacht.</t>
  </si>
  <si>
    <t>Die DWZ Berechnung berücksichtigt nicht alle Bestimmungen!</t>
  </si>
  <si>
    <t>Es wird keine Gewähr übernommen, dass diese Tabelle fehlerfrei ist!</t>
  </si>
  <si>
    <r>
      <t xml:space="preserve">Bei nur 7 Spielern </t>
    </r>
    <r>
      <rPr>
        <b/>
        <u val="single"/>
        <sz val="12"/>
        <rFont val="Arial"/>
        <family val="2"/>
      </rPr>
      <t>muss</t>
    </r>
    <r>
      <rPr>
        <b/>
        <sz val="12"/>
        <rFont val="Arial"/>
        <family val="2"/>
      </rPr>
      <t xml:space="preserve"> immer </t>
    </r>
    <r>
      <rPr>
        <b/>
        <sz val="12"/>
        <color indexed="10"/>
        <rFont val="Arial"/>
        <family val="2"/>
      </rPr>
      <t>spielfrei</t>
    </r>
    <r>
      <rPr>
        <b/>
        <sz val="12"/>
        <rFont val="Arial"/>
        <family val="2"/>
      </rPr>
      <t xml:space="preserve"> für den 8 Spieler eingetragen werden!</t>
    </r>
  </si>
  <si>
    <t>Version 1.02</t>
  </si>
  <si>
    <t>Spieler 8 / spielfrei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</si>
</sst>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7"/>
      <color indexed="12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b/>
      <sz val="6"/>
      <color indexed="12"/>
      <name val="Arial"/>
      <family val="2"/>
    </font>
    <font>
      <b/>
      <u val="single"/>
      <sz val="12"/>
      <name val="Arial"/>
      <family val="2"/>
    </font>
  </fonts>
  <fills count="7">
    <fill>
      <patternFill/>
    </fill>
    <fill>
      <patternFill patternType="gray125"/>
    </fill>
    <fill>
      <patternFill patternType="darkUp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Continuous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Continuous" vertic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4" fontId="8" fillId="0" borderId="0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172" fontId="1" fillId="0" borderId="2" xfId="0" applyNumberFormat="1" applyFont="1" applyBorder="1" applyAlignment="1">
      <alignment horizontal="center" vertical="center"/>
    </xf>
    <xf numFmtId="172" fontId="1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4" fontId="11" fillId="0" borderId="0" xfId="0" applyNumberFormat="1" applyFont="1" applyBorder="1" applyAlignment="1">
      <alignment horizontal="centerContinuous" vertical="center"/>
    </xf>
    <xf numFmtId="14" fontId="6" fillId="0" borderId="0" xfId="0" applyNumberFormat="1" applyFont="1" applyBorder="1" applyAlignment="1">
      <alignment horizontal="centerContinuous" vertical="center"/>
    </xf>
    <xf numFmtId="14" fontId="12" fillId="0" borderId="0" xfId="0" applyNumberFormat="1" applyFont="1" applyBorder="1" applyAlignment="1">
      <alignment horizontal="centerContinuous" vertical="center"/>
    </xf>
    <xf numFmtId="0" fontId="5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172" fontId="0" fillId="0" borderId="0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17" xfId="0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172" fontId="1" fillId="0" borderId="2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Border="1" applyAlignment="1">
      <alignment/>
    </xf>
    <xf numFmtId="172" fontId="1" fillId="0" borderId="3" xfId="0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4" borderId="24" xfId="0" applyFill="1" applyBorder="1" applyAlignment="1">
      <alignment/>
    </xf>
    <xf numFmtId="0" fontId="5" fillId="4" borderId="2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Continuous" vertical="center"/>
    </xf>
    <xf numFmtId="0" fontId="0" fillId="4" borderId="0" xfId="0" applyFill="1" applyBorder="1" applyAlignment="1">
      <alignment horizontal="centerContinuous" vertical="center"/>
    </xf>
    <xf numFmtId="0" fontId="0" fillId="4" borderId="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Alignment="1">
      <alignment vertical="center"/>
    </xf>
    <xf numFmtId="0" fontId="5" fillId="4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0" fontId="0" fillId="5" borderId="23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5" fillId="4" borderId="0" xfId="0" applyFont="1" applyFill="1" applyAlignment="1">
      <alignment horizontal="left"/>
    </xf>
    <xf numFmtId="0" fontId="0" fillId="5" borderId="2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0" borderId="32" xfId="0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73" fontId="0" fillId="0" borderId="32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3" fontId="0" fillId="0" borderId="32" xfId="0" applyNumberFormat="1" applyBorder="1" applyAlignment="1">
      <alignment horizontal="left"/>
    </xf>
    <xf numFmtId="0" fontId="20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1" fillId="4" borderId="0" xfId="0" applyFont="1" applyFill="1" applyAlignment="1">
      <alignment horizontal="left" vertical="top"/>
    </xf>
    <xf numFmtId="0" fontId="14" fillId="5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14" fontId="17" fillId="4" borderId="0" xfId="0" applyNumberFormat="1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rgb="FFFFFFFF"/>
      </font>
      <border/>
    </dxf>
    <dxf>
      <font>
        <color rgb="FFFF0000"/>
      </font>
      <border/>
    </dxf>
    <dxf>
      <font>
        <b/>
        <i val="0"/>
        <color rgb="FF336666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50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2.7109375" style="0" customWidth="1"/>
    <col min="2" max="2" width="3.7109375" style="0" customWidth="1"/>
    <col min="3" max="3" width="2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25.7109375" style="0" customWidth="1"/>
    <col min="8" max="8" width="3.7109375" style="0" customWidth="1"/>
    <col min="9" max="9" width="6.7109375" style="0" customWidth="1"/>
    <col min="11" max="26" width="11.421875" style="2" customWidth="1"/>
  </cols>
  <sheetData>
    <row r="1" spans="1:26" ht="19.5" customHeight="1">
      <c r="A1" s="175" t="s">
        <v>69</v>
      </c>
      <c r="B1" s="178" t="str">
        <f ca="1">"Heute ist "&amp;IF(WEEKDAY(TODAY())=1,"Sonntag","")&amp;IF(WEEKDAY(TODAY())=2,"Montag","")&amp;IF(WEEKDAY(TODAY())=3,"Dienstag","")&amp;IF(WEEKDAY(TODAY())=4,"Mittwoch","")&amp;IF(WEEKDAY(TODAY())=5,"Donnerstag","")&amp;IF(WEEKDAY(TODAY())=6,"Freitag","")&amp;IF(WEEKDAY(TODAY())=7,"Samstag","")&amp;" der "&amp;DAY(TODAY())&amp;". "&amp;IF(MONTH(TODAY())=1,"Januar","")&amp;IF(MONTH(TODAY())=2,"Februar","")&amp;IF(MONTH(TODAY())=3,"März","")&amp;IF(MONTH(TODAY())=4,"April","")&amp;IF(MONTH(TODAY())=5,"Mai","")&amp;IF(MONTH(TODAY())=6,"Juni","")&amp;IF(MONTH(TODAY())=7,"Juli","")&amp;IF(MONTH(TODAY())=8,"August","")&amp;IF(MONTH(TODAY())=9,"September","")&amp;IF(MONTH(TODAY())=10,"Oktober","")&amp;IF(MONTH(TODAY())=11,"November","")&amp;IF(MONTH(TODAY())=12,"Dezember","")&amp;" "&amp;YEAR(TODAY())</f>
        <v>Heute ist Samstag der 8. Februar 2020</v>
      </c>
      <c r="C1" s="178"/>
      <c r="D1" s="178"/>
      <c r="E1" s="178"/>
      <c r="F1" s="178"/>
      <c r="G1" s="178"/>
      <c r="H1" s="178"/>
      <c r="I1" s="178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" customHeight="1">
      <c r="A2" s="133"/>
      <c r="B2" s="120"/>
      <c r="C2" s="182" t="s">
        <v>33</v>
      </c>
      <c r="D2" s="182"/>
      <c r="E2" s="182"/>
      <c r="F2" s="121" t="s">
        <v>1</v>
      </c>
      <c r="G2" s="180" t="s">
        <v>34</v>
      </c>
      <c r="H2" s="180"/>
      <c r="I2" s="180"/>
      <c r="J2" s="135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24" customHeight="1">
      <c r="A3" s="132"/>
      <c r="B3" s="122"/>
      <c r="C3" s="183" t="s">
        <v>0</v>
      </c>
      <c r="D3" s="183"/>
      <c r="E3" s="183"/>
      <c r="F3" s="123" t="s">
        <v>1</v>
      </c>
      <c r="G3" s="181" t="s">
        <v>2</v>
      </c>
      <c r="H3" s="181"/>
      <c r="I3" s="181"/>
      <c r="J3" s="132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ht="24" customHeight="1">
      <c r="A4" s="132"/>
      <c r="B4" s="179" t="s">
        <v>63</v>
      </c>
      <c r="C4" s="179"/>
      <c r="D4" s="179"/>
      <c r="E4" s="179"/>
      <c r="F4" s="179"/>
      <c r="G4" s="179"/>
      <c r="H4" s="179"/>
      <c r="I4" s="179"/>
      <c r="J4" s="132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26" ht="24" customHeight="1" thickBot="1">
      <c r="A5" s="144"/>
      <c r="B5" s="124"/>
      <c r="C5" s="149" t="s">
        <v>37</v>
      </c>
      <c r="D5" s="152" t="s">
        <v>38</v>
      </c>
      <c r="E5" s="152" t="s">
        <v>39</v>
      </c>
      <c r="F5" s="125"/>
      <c r="G5" s="125"/>
      <c r="H5" s="125"/>
      <c r="I5" s="124"/>
      <c r="J5" s="14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ht="24.75" customHeight="1">
      <c r="A6" s="132"/>
      <c r="B6" s="126">
        <v>1</v>
      </c>
      <c r="C6" s="145" t="s">
        <v>3</v>
      </c>
      <c r="D6" s="150"/>
      <c r="E6" s="140"/>
      <c r="F6" s="126"/>
      <c r="G6" s="153"/>
      <c r="H6" s="174"/>
      <c r="I6" s="127"/>
      <c r="J6" s="132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6" ht="24.75" customHeight="1">
      <c r="A7" s="132"/>
      <c r="B7" s="128">
        <v>2</v>
      </c>
      <c r="C7" s="146" t="s">
        <v>4</v>
      </c>
      <c r="D7" s="151"/>
      <c r="E7" s="141"/>
      <c r="F7" s="128"/>
      <c r="G7" s="142"/>
      <c r="H7" s="147"/>
      <c r="I7" s="129"/>
      <c r="J7" s="132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6" ht="24.75" customHeight="1">
      <c r="A8" s="132"/>
      <c r="B8" s="128">
        <v>3</v>
      </c>
      <c r="C8" s="146" t="s">
        <v>5</v>
      </c>
      <c r="D8" s="151"/>
      <c r="E8" s="141"/>
      <c r="F8" s="128"/>
      <c r="G8" s="142"/>
      <c r="H8" s="147"/>
      <c r="I8" s="129"/>
      <c r="J8" s="132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spans="1:26" ht="24.75" customHeight="1">
      <c r="A9" s="132"/>
      <c r="B9" s="128">
        <v>4</v>
      </c>
      <c r="C9" s="146" t="s">
        <v>6</v>
      </c>
      <c r="D9" s="151"/>
      <c r="E9" s="141"/>
      <c r="F9" s="128"/>
      <c r="G9" s="142"/>
      <c r="H9" s="147"/>
      <c r="I9" s="129"/>
      <c r="J9" s="132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spans="1:26" ht="24.75" customHeight="1">
      <c r="A10" s="132"/>
      <c r="B10" s="128">
        <v>5</v>
      </c>
      <c r="C10" s="146" t="s">
        <v>7</v>
      </c>
      <c r="D10" s="151"/>
      <c r="E10" s="141"/>
      <c r="F10" s="128"/>
      <c r="G10" s="142"/>
      <c r="H10" s="147"/>
      <c r="I10" s="129"/>
      <c r="J10" s="132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 spans="1:26" ht="24.75" customHeight="1">
      <c r="A11" s="132"/>
      <c r="B11" s="128">
        <v>6</v>
      </c>
      <c r="C11" s="146" t="s">
        <v>8</v>
      </c>
      <c r="D11" s="151"/>
      <c r="E11" s="141"/>
      <c r="F11" s="128"/>
      <c r="G11" s="142"/>
      <c r="H11" s="147"/>
      <c r="I11" s="129"/>
      <c r="J11" s="132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 spans="1:26" ht="24.75" customHeight="1">
      <c r="A12" s="132"/>
      <c r="B12" s="128">
        <v>7</v>
      </c>
      <c r="C12" s="146" t="s">
        <v>9</v>
      </c>
      <c r="D12" s="151"/>
      <c r="E12" s="141"/>
      <c r="F12" s="128"/>
      <c r="G12" s="142"/>
      <c r="H12" s="147"/>
      <c r="I12" s="129"/>
      <c r="J12" s="132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 spans="1:26" ht="24.75" customHeight="1">
      <c r="A13" s="132"/>
      <c r="B13" s="128">
        <v>8</v>
      </c>
      <c r="C13" s="146" t="s">
        <v>70</v>
      </c>
      <c r="D13" s="151"/>
      <c r="E13" s="141"/>
      <c r="F13" s="128"/>
      <c r="G13" s="142"/>
      <c r="H13" s="147"/>
      <c r="I13" s="129"/>
      <c r="J13" s="132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ht="24.75" customHeight="1">
      <c r="A14" s="132"/>
      <c r="B14" s="128"/>
      <c r="C14" s="147"/>
      <c r="D14" s="147"/>
      <c r="E14" s="142"/>
      <c r="F14" s="128"/>
      <c r="G14" s="142"/>
      <c r="H14" s="147"/>
      <c r="I14" s="129"/>
      <c r="J14" s="132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 spans="1:26" ht="24.75" customHeight="1" thickBot="1">
      <c r="A15" s="132"/>
      <c r="B15" s="130"/>
      <c r="C15" s="148"/>
      <c r="D15" s="148"/>
      <c r="E15" s="143"/>
      <c r="F15" s="130"/>
      <c r="G15" s="143"/>
      <c r="H15" s="148"/>
      <c r="I15" s="131"/>
      <c r="J15" s="132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 spans="1:26" ht="24.7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86" customFormat="1" ht="15" customHeight="1">
      <c r="A17" s="136"/>
      <c r="B17" s="137" t="s">
        <v>64</v>
      </c>
      <c r="C17" s="136"/>
      <c r="D17" s="136"/>
      <c r="E17" s="136"/>
      <c r="F17" s="136"/>
      <c r="G17" s="136"/>
      <c r="H17" s="136"/>
      <c r="I17" s="136"/>
      <c r="J17" s="136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</row>
    <row r="18" spans="1:26" s="86" customFormat="1" ht="15" customHeight="1">
      <c r="A18" s="136"/>
      <c r="B18" s="137" t="s">
        <v>65</v>
      </c>
      <c r="C18" s="136"/>
      <c r="D18" s="136"/>
      <c r="E18" s="136"/>
      <c r="F18" s="136"/>
      <c r="G18" s="136"/>
      <c r="H18" s="136"/>
      <c r="I18" s="136"/>
      <c r="J18" s="136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</row>
    <row r="19" spans="1:26" s="86" customFormat="1" ht="15" customHeight="1">
      <c r="A19" s="136"/>
      <c r="B19" s="137" t="s">
        <v>68</v>
      </c>
      <c r="C19" s="136"/>
      <c r="D19" s="136"/>
      <c r="E19" s="136"/>
      <c r="F19" s="136"/>
      <c r="G19" s="136"/>
      <c r="H19" s="136"/>
      <c r="I19" s="136"/>
      <c r="J19" s="136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</row>
    <row r="20" spans="1:26" ht="1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:26" ht="15" customHeight="1">
      <c r="A21" s="132"/>
      <c r="B21" s="137" t="s">
        <v>31</v>
      </c>
      <c r="C21" s="132"/>
      <c r="D21" s="132"/>
      <c r="E21" s="132"/>
      <c r="F21" s="132"/>
      <c r="G21" s="132"/>
      <c r="H21" s="132"/>
      <c r="I21" s="132"/>
      <c r="J21" s="132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 ht="15" customHeight="1">
      <c r="A22" s="132"/>
      <c r="B22" s="137" t="s">
        <v>30</v>
      </c>
      <c r="C22" s="132"/>
      <c r="D22" s="132"/>
      <c r="E22" s="132"/>
      <c r="F22" s="132"/>
      <c r="G22" s="132"/>
      <c r="H22" s="132"/>
      <c r="I22" s="132"/>
      <c r="J22" s="132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ht="1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6" ht="15" customHeight="1">
      <c r="A24" s="132"/>
      <c r="B24" s="137" t="s">
        <v>36</v>
      </c>
      <c r="C24" s="132"/>
      <c r="D24" s="132"/>
      <c r="E24" s="132"/>
      <c r="F24" s="132"/>
      <c r="G24" s="132"/>
      <c r="H24" s="132"/>
      <c r="I24" s="132"/>
      <c r="J24" s="132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:26" ht="15" customHeight="1">
      <c r="A25" s="132"/>
      <c r="B25" s="137" t="s">
        <v>62</v>
      </c>
      <c r="C25" s="132"/>
      <c r="D25" s="132"/>
      <c r="E25" s="132"/>
      <c r="F25" s="132"/>
      <c r="G25" s="132"/>
      <c r="H25" s="132"/>
      <c r="I25" s="132"/>
      <c r="J25" s="132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</row>
    <row r="26" spans="1:26" ht="15" customHeight="1">
      <c r="A26" s="132"/>
      <c r="B26" s="137" t="s">
        <v>66</v>
      </c>
      <c r="C26" s="132"/>
      <c r="D26" s="132"/>
      <c r="E26" s="132"/>
      <c r="F26" s="132"/>
      <c r="G26" s="132"/>
      <c r="H26" s="132"/>
      <c r="I26" s="132"/>
      <c r="J26" s="132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</row>
    <row r="27" spans="1:26" ht="15" customHeight="1">
      <c r="A27" s="132"/>
      <c r="B27" s="137"/>
      <c r="C27" s="132"/>
      <c r="D27" s="132"/>
      <c r="E27" s="132"/>
      <c r="F27" s="132"/>
      <c r="G27" s="132"/>
      <c r="H27" s="132"/>
      <c r="I27" s="132"/>
      <c r="J27" s="132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</row>
    <row r="28" spans="1:26" ht="15" customHeight="1">
      <c r="A28" s="132"/>
      <c r="B28" s="177" t="s">
        <v>67</v>
      </c>
      <c r="C28" s="132"/>
      <c r="D28" s="132"/>
      <c r="E28" s="132"/>
      <c r="F28" s="132"/>
      <c r="G28" s="132"/>
      <c r="H28" s="132"/>
      <c r="I28" s="132"/>
      <c r="J28" s="132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</row>
    <row r="29" spans="1:26" ht="15" customHeight="1">
      <c r="A29" s="132"/>
      <c r="B29" s="137"/>
      <c r="C29" s="132"/>
      <c r="D29" s="132"/>
      <c r="E29" s="132"/>
      <c r="F29" s="132"/>
      <c r="G29" s="132"/>
      <c r="H29" s="132"/>
      <c r="I29" s="132"/>
      <c r="J29" s="132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15" customHeight="1">
      <c r="A30" s="132"/>
      <c r="B30" s="137"/>
      <c r="C30" s="132"/>
      <c r="D30" s="132"/>
      <c r="E30" s="132"/>
      <c r="F30" s="132"/>
      <c r="G30" s="132"/>
      <c r="H30" s="132"/>
      <c r="I30" s="132"/>
      <c r="J30" s="132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</row>
    <row r="31" spans="1:26" ht="1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</row>
    <row r="32" spans="1:26" ht="1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</row>
    <row r="33" spans="1:26" ht="1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</row>
    <row r="34" spans="1:26" ht="1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</row>
    <row r="35" spans="1:26" ht="1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36" spans="1:26" ht="1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26" ht="15" customHeight="1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:26" ht="1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spans="1:26" ht="1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spans="1:26" ht="15" customHeigh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spans="1:26" ht="1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spans="1:26" ht="15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spans="1:26" ht="1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</row>
    <row r="44" spans="1:26" ht="1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</row>
    <row r="45" spans="1:26" ht="1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</row>
    <row r="46" spans="1:26" ht="1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</row>
    <row r="47" spans="1:26" ht="15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spans="1:26" ht="1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</row>
    <row r="49" spans="1:26" ht="15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spans="1:26" ht="1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</sheetData>
  <mergeCells count="6">
    <mergeCell ref="B1:I1"/>
    <mergeCell ref="B4:I4"/>
    <mergeCell ref="G2:I2"/>
    <mergeCell ref="G3:I3"/>
    <mergeCell ref="C2:E2"/>
    <mergeCell ref="C3:E3"/>
  </mergeCells>
  <printOptions horizontalCentered="1"/>
  <pageMargins left="0.3937007874015748" right="0.3937007874015748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HT51"/>
  <sheetViews>
    <sheetView workbookViewId="0" topLeftCell="A1">
      <pane ySplit="8" topLeftCell="BM9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8.00390625" style="0" customWidth="1"/>
    <col min="2" max="2" width="2.7109375" style="0" customWidth="1"/>
    <col min="3" max="3" width="13.7109375" style="0" customWidth="1"/>
    <col min="4" max="4" width="1.57421875" style="0" customWidth="1"/>
    <col min="5" max="5" width="2.7109375" style="0" customWidth="1"/>
    <col min="6" max="6" width="11.7109375" style="0" customWidth="1"/>
    <col min="7" max="7" width="4.140625" style="0" customWidth="1"/>
    <col min="8" max="8" width="1.57421875" style="0" customWidth="1"/>
    <col min="9" max="9" width="4.140625" style="0" customWidth="1"/>
    <col min="10" max="10" width="3.7109375" style="0" customWidth="1"/>
    <col min="11" max="11" width="13.7109375" style="0" customWidth="1"/>
    <col min="12" max="12" width="1.57421875" style="0" customWidth="1"/>
    <col min="13" max="13" width="2.7109375" style="0" customWidth="1"/>
    <col min="14" max="14" width="11.7109375" style="0" customWidth="1"/>
    <col min="15" max="15" width="4.140625" style="0" customWidth="1"/>
    <col min="16" max="16" width="1.57421875" style="0" customWidth="1"/>
    <col min="17" max="17" width="4.140625" style="0" customWidth="1"/>
    <col min="18" max="18" width="3.7109375" style="0" customWidth="1"/>
    <col min="19" max="19" width="13.7109375" style="0" customWidth="1"/>
    <col min="20" max="20" width="1.57421875" style="0" customWidth="1"/>
    <col min="21" max="21" width="2.7109375" style="0" customWidth="1"/>
    <col min="22" max="22" width="11.7109375" style="0" customWidth="1"/>
    <col min="23" max="23" width="4.140625" style="0" customWidth="1"/>
    <col min="24" max="24" width="1.57421875" style="0" customWidth="1"/>
    <col min="25" max="25" width="4.140625" style="0" customWidth="1"/>
    <col min="26" max="26" width="11.421875" style="1" customWidth="1"/>
    <col min="27" max="27" width="11.421875" style="1" hidden="1" customWidth="1"/>
    <col min="28" max="41" width="11.421875" style="0" hidden="1" customWidth="1"/>
  </cols>
  <sheetData>
    <row r="1" spans="1:27" s="15" customFormat="1" ht="25.5">
      <c r="A1" s="55"/>
      <c r="B1" s="192" t="s">
        <v>28</v>
      </c>
      <c r="C1" s="192"/>
      <c r="D1" s="193" t="str">
        <f>AO34&amp;"."</f>
        <v>1.</v>
      </c>
      <c r="E1" s="193"/>
      <c r="F1" s="95" t="s">
        <v>25</v>
      </c>
      <c r="G1" s="176"/>
      <c r="H1" s="79" t="str">
        <f>Eingabe!$G$3</f>
        <v>z.B. Monatsblitzturnier</v>
      </c>
      <c r="I1" s="80"/>
      <c r="J1" s="80"/>
      <c r="K1" s="81"/>
      <c r="L1" s="81"/>
      <c r="M1" s="82"/>
      <c r="N1" s="82"/>
      <c r="O1" s="80"/>
      <c r="P1" s="80"/>
      <c r="Q1" s="80"/>
      <c r="R1" s="80"/>
      <c r="S1" s="80"/>
      <c r="T1"/>
      <c r="U1" s="54" t="s">
        <v>10</v>
      </c>
      <c r="V1" s="88" t="str">
        <f>Eingabe!G2</f>
        <v>??.??.????</v>
      </c>
      <c r="W1" s="89"/>
      <c r="X1" s="53"/>
      <c r="Y1" s="53"/>
      <c r="Z1" s="3"/>
      <c r="AA1" s="3"/>
    </row>
    <row r="2" spans="26:27" ht="12.75">
      <c r="Z2" s="3"/>
      <c r="AA2" s="3"/>
    </row>
    <row r="3" spans="1:27" ht="13.5" thickBot="1">
      <c r="A3" s="2"/>
      <c r="B3" s="2"/>
      <c r="D3" s="10"/>
      <c r="F3" s="191" t="str">
        <f>AI7</f>
        <v>Spieler 1</v>
      </c>
      <c r="G3" s="191"/>
      <c r="H3" s="191"/>
      <c r="I3" s="191"/>
      <c r="J3" s="191" t="str">
        <f>AI8</f>
        <v>Spieler 2</v>
      </c>
      <c r="K3" s="191"/>
      <c r="L3" s="191"/>
      <c r="M3" s="191"/>
      <c r="N3" s="191" t="str">
        <f>AI9</f>
        <v>Spieler 3</v>
      </c>
      <c r="O3" s="191"/>
      <c r="P3" s="191"/>
      <c r="Q3" s="191"/>
      <c r="R3" s="16" t="str">
        <f>AI10</f>
        <v>Spieler 4</v>
      </c>
      <c r="S3" s="13"/>
      <c r="T3" s="16"/>
      <c r="U3" s="18"/>
      <c r="V3" s="73"/>
      <c r="W3" s="18"/>
      <c r="X3" s="18"/>
      <c r="Y3" s="18"/>
      <c r="Z3" s="3"/>
      <c r="AA3" s="3"/>
    </row>
    <row r="4" spans="1:41" ht="12.75">
      <c r="A4" s="2"/>
      <c r="B4" s="2"/>
      <c r="D4" s="2"/>
      <c r="F4" s="188" t="str">
        <f>IF($F$7="spielfrei","",AI6)</f>
        <v>Weiß</v>
      </c>
      <c r="G4" s="189"/>
      <c r="H4" s="189"/>
      <c r="I4" s="190"/>
      <c r="J4" s="188" t="s">
        <v>27</v>
      </c>
      <c r="K4" s="189"/>
      <c r="L4" s="189"/>
      <c r="M4" s="190"/>
      <c r="N4" s="188" t="s">
        <v>26</v>
      </c>
      <c r="O4" s="189"/>
      <c r="P4" s="189"/>
      <c r="Q4" s="190"/>
      <c r="R4" s="188" t="s">
        <v>27</v>
      </c>
      <c r="S4" s="189"/>
      <c r="T4" s="189"/>
      <c r="U4" s="190"/>
      <c r="V4" s="38"/>
      <c r="W4" s="2"/>
      <c r="X4" s="2"/>
      <c r="Y4" s="2"/>
      <c r="Z4" s="3"/>
      <c r="AA4" s="3" t="s">
        <v>23</v>
      </c>
      <c r="AB4" s="3" t="s">
        <v>11</v>
      </c>
      <c r="AC4" s="1" t="s">
        <v>12</v>
      </c>
      <c r="AD4" s="1" t="s">
        <v>13</v>
      </c>
      <c r="AE4" s="1" t="s">
        <v>15</v>
      </c>
      <c r="AF4" s="1" t="s">
        <v>16</v>
      </c>
      <c r="AG4" s="1" t="s">
        <v>17</v>
      </c>
      <c r="AH4" s="1" t="s">
        <v>18</v>
      </c>
      <c r="AI4" s="1" t="s">
        <v>29</v>
      </c>
      <c r="AJ4" s="1"/>
      <c r="AK4" s="3">
        <f>IF($E$12="spielfrei",COUNT($G$13:$G$15,$O$13:$O$15,$W$13:$W$15,$G$21:$G$23,$O$21:$O$23,$W$21:$W$23,$G$29:$G$31),-1)</f>
        <v>-1</v>
      </c>
      <c r="AL4" s="3"/>
      <c r="AM4" s="3">
        <f>IF($E$12="spielfrei",-1,COUNT($G$12:$G$15,$O$12:$O$15,$W$12:$W$15,$G$20:$G$23,$O$20:$O$23,$W$20:$W$23,$G$28:$G$31))</f>
        <v>0</v>
      </c>
      <c r="AN4" s="3"/>
      <c r="AO4" s="1"/>
    </row>
    <row r="5" spans="1:41" ht="12.75">
      <c r="A5" s="2"/>
      <c r="B5" s="2"/>
      <c r="D5" s="17"/>
      <c r="F5" s="74" t="str">
        <f>IF($F$7="spielfrei","","Tisch 1")</f>
        <v>Tisch 1</v>
      </c>
      <c r="G5" s="75"/>
      <c r="H5" s="75"/>
      <c r="I5" s="76"/>
      <c r="J5" s="74" t="str">
        <f>IF($F$7="spielfrei","Tisch 1","Tisch 2")</f>
        <v>Tisch 2</v>
      </c>
      <c r="K5" s="17"/>
      <c r="L5" s="40"/>
      <c r="M5" s="90"/>
      <c r="N5" s="74" t="str">
        <f>IF($F$7="spielfrei","Tisch 2","Tisch 3")</f>
        <v>Tisch 3</v>
      </c>
      <c r="O5" s="75"/>
      <c r="P5" s="75"/>
      <c r="Q5" s="76"/>
      <c r="R5" s="74" t="str">
        <f>IF($F$7="spielfrei","Tisch 3","Tisch 4")</f>
        <v>Tisch 4</v>
      </c>
      <c r="S5" s="17"/>
      <c r="T5" s="40"/>
      <c r="U5" s="91"/>
      <c r="V5" s="73"/>
      <c r="W5" s="18"/>
      <c r="X5" s="18"/>
      <c r="Y5" s="17"/>
      <c r="Z5" s="3"/>
      <c r="AA5" s="3"/>
      <c r="AB5" s="3"/>
      <c r="AC5" s="1"/>
      <c r="AD5" s="1"/>
      <c r="AK5" s="3">
        <f>IF($AK$4=AO5,AL5,0)</f>
        <v>0</v>
      </c>
      <c r="AL5" s="3">
        <v>1</v>
      </c>
      <c r="AM5" s="3">
        <f>IF($AM$4=AO5,AN5,0)</f>
        <v>1</v>
      </c>
      <c r="AN5" s="3">
        <v>1</v>
      </c>
      <c r="AO5" s="1">
        <v>0</v>
      </c>
    </row>
    <row r="6" spans="1:41" ht="13.5" thickBot="1">
      <c r="A6" s="2"/>
      <c r="B6" s="2"/>
      <c r="C6" s="93"/>
      <c r="D6" s="2"/>
      <c r="F6" s="185" t="str">
        <f>IF($F$7="spielfrei","",IF(F4="Weiß","Schwarz",IF(F4="Schwarz","Weiß")))</f>
        <v>Schwarz</v>
      </c>
      <c r="G6" s="186"/>
      <c r="H6" s="186"/>
      <c r="I6" s="187"/>
      <c r="J6" s="185" t="s">
        <v>26</v>
      </c>
      <c r="K6" s="186"/>
      <c r="L6" s="186"/>
      <c r="M6" s="187"/>
      <c r="N6" s="185" t="s">
        <v>27</v>
      </c>
      <c r="O6" s="186"/>
      <c r="P6" s="186"/>
      <c r="Q6" s="187"/>
      <c r="R6" s="185" t="s">
        <v>26</v>
      </c>
      <c r="S6" s="186"/>
      <c r="T6" s="186"/>
      <c r="U6" s="187"/>
      <c r="V6" s="38"/>
      <c r="W6" s="2"/>
      <c r="X6" s="2"/>
      <c r="Y6" s="2"/>
      <c r="Z6" s="3"/>
      <c r="AA6" s="3"/>
      <c r="AB6" s="3" t="str">
        <f>IF($AO$34=1,"Weiß","")</f>
        <v>Weiß</v>
      </c>
      <c r="AC6" s="3">
        <f>IF($AO$34=2,"Schwarz","")</f>
      </c>
      <c r="AD6" s="3">
        <f>IF($AO$34=3,"Weiß","")</f>
      </c>
      <c r="AE6" s="3">
        <f>IF($AO$34=4,"Schwarz","")</f>
      </c>
      <c r="AF6" s="3">
        <f>IF($AO$34=5,"Weiß","")</f>
      </c>
      <c r="AG6" s="3">
        <f>IF($AO$34=6,"Schwarz","")</f>
      </c>
      <c r="AH6" s="3">
        <f>IF($AO$34=7,"Weiß","")</f>
      </c>
      <c r="AI6" s="1" t="str">
        <f>AB6&amp;AC6&amp;AD6&amp;AE6&amp;AF6&amp;AG6&amp;AH6</f>
        <v>Weiß</v>
      </c>
      <c r="AJ6" s="1"/>
      <c r="AK6" s="3">
        <f aca="true" t="shared" si="0" ref="AK6:AK26">IF($AK$4=AO6,AL6,0)</f>
        <v>0</v>
      </c>
      <c r="AL6" s="3">
        <v>1</v>
      </c>
      <c r="AM6" s="3">
        <f aca="true" t="shared" si="1" ref="AM6:AM33">IF($AM$4=AO6,AN6,0)</f>
        <v>0</v>
      </c>
      <c r="AN6" s="3">
        <v>1</v>
      </c>
      <c r="AO6" s="1">
        <v>1</v>
      </c>
    </row>
    <row r="7" spans="1:41" ht="12.75">
      <c r="A7" s="2"/>
      <c r="B7" s="2"/>
      <c r="C7" s="18"/>
      <c r="D7" s="17"/>
      <c r="F7" s="16" t="str">
        <f>AI14</f>
        <v>Spieler 8 / spielfrei</v>
      </c>
      <c r="G7" s="16"/>
      <c r="H7" s="16"/>
      <c r="I7" s="13"/>
      <c r="J7" s="16" t="str">
        <f>AI13</f>
        <v>Spieler 7</v>
      </c>
      <c r="K7" s="13"/>
      <c r="L7" s="13"/>
      <c r="M7" s="13"/>
      <c r="N7" s="16" t="str">
        <f>AI12</f>
        <v>Spieler 6</v>
      </c>
      <c r="O7" s="16"/>
      <c r="P7" s="16"/>
      <c r="Q7" s="13"/>
      <c r="R7" s="16" t="str">
        <f>AI11</f>
        <v>Spieler 5</v>
      </c>
      <c r="S7" s="13"/>
      <c r="T7" s="13"/>
      <c r="U7" s="18"/>
      <c r="V7" s="73"/>
      <c r="W7" s="18"/>
      <c r="X7" s="18"/>
      <c r="Y7" s="17"/>
      <c r="Z7" s="3"/>
      <c r="AA7" s="3">
        <v>1</v>
      </c>
      <c r="AB7" s="3" t="str">
        <f>IF($AO$34=1,Eingabe!$C$6,"")</f>
        <v>Spieler 1</v>
      </c>
      <c r="AC7" s="3">
        <f>IF($AO$34=2,Eingabe!$C$12,"")</f>
      </c>
      <c r="AD7" s="3">
        <f>IF($AO$34=3,Eingabe!$C$11,"")</f>
      </c>
      <c r="AE7" s="3">
        <f>IF($AO$34=4,Eingabe!$C$10,"")</f>
      </c>
      <c r="AF7" s="3">
        <f>IF($AO$34=5,Eingabe!$C$9,"")</f>
      </c>
      <c r="AG7" s="3">
        <f>IF($AO$34=6,Eingabe!$C$8,"")</f>
      </c>
      <c r="AH7" s="3">
        <f>IF($AO$34=7,Eingabe!$C$7,"")</f>
      </c>
      <c r="AI7" s="1" t="str">
        <f aca="true" t="shared" si="2" ref="AI7:AI14">AB7&amp;AC7&amp;AD7&amp;AE7&amp;AF7&amp;AG7&amp;AH7</f>
        <v>Spieler 1</v>
      </c>
      <c r="AK7" s="3">
        <f t="shared" si="0"/>
        <v>0</v>
      </c>
      <c r="AL7" s="3">
        <v>1</v>
      </c>
      <c r="AM7" s="3">
        <f t="shared" si="1"/>
        <v>0</v>
      </c>
      <c r="AN7" s="3">
        <v>1</v>
      </c>
      <c r="AO7" s="3">
        <v>2</v>
      </c>
    </row>
    <row r="8" spans="6:41" ht="12.75">
      <c r="F8" s="184" t="s">
        <v>35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39"/>
      <c r="Z8" s="3"/>
      <c r="AA8" s="1">
        <v>2</v>
      </c>
      <c r="AB8" s="3" t="str">
        <f>IF($AO$34=1,Eingabe!$C$7,"")</f>
        <v>Spieler 2</v>
      </c>
      <c r="AC8" s="3">
        <f>IF($AO$34=2,Eingabe!$C$6,"")</f>
      </c>
      <c r="AD8" s="3">
        <f>IF($AO$34=3,Eingabe!$C$12,"")</f>
      </c>
      <c r="AE8" s="3">
        <f>IF($AO$34=4,Eingabe!$C$11,"")</f>
      </c>
      <c r="AF8" s="3">
        <f>IF($AO$34=5,Eingabe!$C$10,"")</f>
      </c>
      <c r="AG8" s="3">
        <f>IF($AO$34=6,Eingabe!$C$9,"")</f>
      </c>
      <c r="AH8" s="3">
        <f>IF($AO$34=7,Eingabe!$C$8,"")</f>
      </c>
      <c r="AI8" s="1" t="str">
        <f t="shared" si="2"/>
        <v>Spieler 2</v>
      </c>
      <c r="AK8" s="3">
        <f t="shared" si="0"/>
        <v>0</v>
      </c>
      <c r="AL8" s="3">
        <v>2</v>
      </c>
      <c r="AM8" s="3">
        <f t="shared" si="1"/>
        <v>0</v>
      </c>
      <c r="AN8" s="3">
        <v>1</v>
      </c>
      <c r="AO8" s="94">
        <v>3</v>
      </c>
    </row>
    <row r="9" spans="1:41" ht="12.7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3"/>
      <c r="AA9" s="1">
        <v>3</v>
      </c>
      <c r="AB9" s="3" t="str">
        <f>IF($AO$34=1,Eingabe!$C$8,"")</f>
        <v>Spieler 3</v>
      </c>
      <c r="AC9" s="3">
        <f>IF($AO$34=2,Eingabe!$C$7,"")</f>
      </c>
      <c r="AD9" s="3">
        <f>IF($AO$34=3,Eingabe!$C$6,"")</f>
      </c>
      <c r="AE9" s="3">
        <f>IF($AO$34=4,Eingabe!$C$12,"")</f>
      </c>
      <c r="AF9" s="3">
        <f>IF($AO$34=5,Eingabe!$C$11,"")</f>
      </c>
      <c r="AG9" s="3">
        <f>IF($AO$34=6,Eingabe!$C$10,"")</f>
      </c>
      <c r="AH9" s="3">
        <f>IF($AO$34=7,Eingabe!$C$9,"")</f>
      </c>
      <c r="AI9" s="1" t="str">
        <f t="shared" si="2"/>
        <v>Spieler 3</v>
      </c>
      <c r="AK9" s="3">
        <f t="shared" si="0"/>
        <v>0</v>
      </c>
      <c r="AL9" s="3">
        <v>2</v>
      </c>
      <c r="AM9" s="3">
        <f t="shared" si="1"/>
        <v>0</v>
      </c>
      <c r="AN9" s="3">
        <v>2</v>
      </c>
      <c r="AO9" s="94">
        <v>4</v>
      </c>
    </row>
    <row r="10" spans="4:228" ht="12.75">
      <c r="D10" s="12" t="s">
        <v>11</v>
      </c>
      <c r="L10" s="12" t="s">
        <v>12</v>
      </c>
      <c r="T10" s="12" t="s">
        <v>13</v>
      </c>
      <c r="Z10" s="3"/>
      <c r="AA10" s="1">
        <v>4</v>
      </c>
      <c r="AB10" s="3" t="str">
        <f>IF($AO$34=1,Eingabe!$C$9,"")</f>
        <v>Spieler 4</v>
      </c>
      <c r="AC10" s="3">
        <f>IF($AO$34=2,Eingabe!$C$8,"")</f>
      </c>
      <c r="AD10" s="3">
        <f>IF($AO$34=3,Eingabe!$C$7,"")</f>
      </c>
      <c r="AE10" s="3">
        <f>IF($AO$34=4,Eingabe!$C$6,"")</f>
      </c>
      <c r="AF10" s="3">
        <f>IF($AO$34=5,Eingabe!$C$12,"")</f>
      </c>
      <c r="AG10" s="3">
        <f>IF($AO$34=6,Eingabe!$C$11,"")</f>
      </c>
      <c r="AH10" s="3">
        <f>IF($AO$34=7,Eingabe!$C$10,"")</f>
      </c>
      <c r="AI10" s="1" t="str">
        <f t="shared" si="2"/>
        <v>Spieler 4</v>
      </c>
      <c r="AJ10" s="2"/>
      <c r="AK10" s="3">
        <f t="shared" si="0"/>
        <v>0</v>
      </c>
      <c r="AL10" s="3">
        <v>2</v>
      </c>
      <c r="AM10" s="3">
        <f t="shared" si="1"/>
        <v>0</v>
      </c>
      <c r="AN10" s="3">
        <v>2</v>
      </c>
      <c r="AO10" s="94">
        <v>5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</row>
    <row r="11" spans="3:228" ht="6" customHeight="1">
      <c r="C11" s="12"/>
      <c r="K11" s="12"/>
      <c r="S11" s="12"/>
      <c r="Z11" s="3"/>
      <c r="AA11" s="1">
        <v>5</v>
      </c>
      <c r="AB11" s="3" t="str">
        <f>IF($AO$34=1,Eingabe!$C$10,"")</f>
        <v>Spieler 5</v>
      </c>
      <c r="AC11" s="3">
        <f>IF($AO$34=2,Eingabe!$C$9,"")</f>
      </c>
      <c r="AD11" s="3">
        <f>IF($AO$34=3,Eingabe!$C$8,"")</f>
      </c>
      <c r="AE11" s="3">
        <f>IF($AO$34=4,Eingabe!$C$7,"")</f>
      </c>
      <c r="AF11" s="3">
        <f>IF($AO$34=5,Eingabe!$C$6,"")</f>
      </c>
      <c r="AG11" s="3">
        <f>IF($AO$34=6,Eingabe!$C$12,"")</f>
      </c>
      <c r="AH11" s="3">
        <f>IF($AO$34=7,Eingabe!$C$11,"")</f>
      </c>
      <c r="AI11" s="1" t="str">
        <f t="shared" si="2"/>
        <v>Spieler 5</v>
      </c>
      <c r="AJ11" s="2"/>
      <c r="AK11" s="3">
        <f t="shared" si="0"/>
        <v>0</v>
      </c>
      <c r="AL11" s="3">
        <v>3</v>
      </c>
      <c r="AM11" s="3">
        <f t="shared" si="1"/>
        <v>0</v>
      </c>
      <c r="AN11" s="3">
        <v>2</v>
      </c>
      <c r="AO11" s="94">
        <v>6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</row>
    <row r="12" spans="1:228" ht="12.75">
      <c r="A12" t="str">
        <f>IF(Eingabe!$C$13="spielfrei","","Tisch 1 :")</f>
        <v>Tisch 1 :</v>
      </c>
      <c r="C12" s="15" t="str">
        <f>Eingabe!$C$6</f>
        <v>Spieler 1</v>
      </c>
      <c r="D12" s="1" t="s">
        <v>1</v>
      </c>
      <c r="E12" s="15" t="str">
        <f>Eingabe!$C$13</f>
        <v>Spieler 8 / spielfrei</v>
      </c>
      <c r="F12" s="15"/>
      <c r="G12" s="1" t="s">
        <v>14</v>
      </c>
      <c r="H12" s="60" t="str">
        <f>IF($F$7="spielfrei","",":")</f>
        <v>:</v>
      </c>
      <c r="I12" s="5" t="str">
        <f>IF(G12&lt;=1,1-G12," ")</f>
        <v> </v>
      </c>
      <c r="J12" s="3"/>
      <c r="K12" s="15" t="str">
        <f>Eingabe!$C$12</f>
        <v>Spieler 7</v>
      </c>
      <c r="L12" s="1" t="s">
        <v>1</v>
      </c>
      <c r="M12" s="15" t="str">
        <f>Eingabe!$C$13</f>
        <v>Spieler 8 / spielfrei</v>
      </c>
      <c r="N12" s="15"/>
      <c r="O12" s="1" t="s">
        <v>14</v>
      </c>
      <c r="P12" s="60" t="str">
        <f>IF($F$7="spielfrei","",":")</f>
        <v>:</v>
      </c>
      <c r="Q12" s="5" t="str">
        <f>IF(O12&lt;=1,1-O12," ")</f>
        <v> </v>
      </c>
      <c r="R12" s="3"/>
      <c r="S12" s="15" t="str">
        <f>Eingabe!$C$11</f>
        <v>Spieler 6</v>
      </c>
      <c r="T12" s="1" t="s">
        <v>1</v>
      </c>
      <c r="U12" s="15" t="str">
        <f>Eingabe!$C$13</f>
        <v>Spieler 8 / spielfrei</v>
      </c>
      <c r="V12" s="15"/>
      <c r="W12" s="1" t="s">
        <v>14</v>
      </c>
      <c r="X12" s="60" t="str">
        <f>IF($F$7="spielfrei","",":")</f>
        <v>:</v>
      </c>
      <c r="Y12" s="3" t="str">
        <f>IF(W12&lt;=1,1-W12," ")</f>
        <v> </v>
      </c>
      <c r="Z12" s="3"/>
      <c r="AA12" s="3">
        <v>6</v>
      </c>
      <c r="AB12" s="3" t="str">
        <f>IF($AO$34=1,Eingabe!$C$11,"")</f>
        <v>Spieler 6</v>
      </c>
      <c r="AC12" s="3">
        <f>IF($AO$34=2,Eingabe!$C$10,"")</f>
      </c>
      <c r="AD12" s="3">
        <f>IF($AO$34=3,Eingabe!$C$9,"")</f>
      </c>
      <c r="AE12" s="3">
        <f>IF($AO$34=4,Eingabe!$C$8,"")</f>
      </c>
      <c r="AF12" s="3">
        <f>IF($AO$34=5,Eingabe!$C$7,"")</f>
      </c>
      <c r="AG12" s="3">
        <f>IF($AO$34=6,Eingabe!$C$6,"")</f>
      </c>
      <c r="AH12" s="3">
        <f>IF($AO$34=7,Eingabe!$C$12,"")</f>
      </c>
      <c r="AI12" s="1" t="str">
        <f t="shared" si="2"/>
        <v>Spieler 6</v>
      </c>
      <c r="AJ12" s="2"/>
      <c r="AK12" s="3">
        <f t="shared" si="0"/>
        <v>0</v>
      </c>
      <c r="AL12" s="3">
        <v>3</v>
      </c>
      <c r="AM12" s="3">
        <f t="shared" si="1"/>
        <v>0</v>
      </c>
      <c r="AN12" s="3">
        <v>2</v>
      </c>
      <c r="AO12" s="94">
        <v>7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</row>
    <row r="13" spans="1:228" ht="12.75">
      <c r="A13" t="str">
        <f>IF(Eingabe!$C$13="spielfrei","Tisch 1 :","Tisch 2 :")</f>
        <v>Tisch 2 :</v>
      </c>
      <c r="C13" s="15" t="str">
        <f>Eingabe!$C$12</f>
        <v>Spieler 7</v>
      </c>
      <c r="D13" s="1" t="s">
        <v>1</v>
      </c>
      <c r="E13" s="15" t="str">
        <f>Eingabe!$C$7</f>
        <v>Spieler 2</v>
      </c>
      <c r="F13" s="15"/>
      <c r="G13" s="1" t="s">
        <v>14</v>
      </c>
      <c r="H13" s="1" t="s">
        <v>1</v>
      </c>
      <c r="I13" s="5" t="str">
        <f>IF(G13&lt;=1,1-G13," ")</f>
        <v> </v>
      </c>
      <c r="J13" s="3"/>
      <c r="K13" s="15" t="str">
        <f>Eingabe!$C$11</f>
        <v>Spieler 6</v>
      </c>
      <c r="L13" s="1" t="s">
        <v>1</v>
      </c>
      <c r="M13" s="15" t="str">
        <f>Eingabe!$C$6</f>
        <v>Spieler 1</v>
      </c>
      <c r="N13" s="15"/>
      <c r="O13" s="1" t="s">
        <v>14</v>
      </c>
      <c r="P13" s="1" t="s">
        <v>1</v>
      </c>
      <c r="Q13" s="5" t="str">
        <f>IF(O13&lt;=1,1-O13," ")</f>
        <v> </v>
      </c>
      <c r="R13" s="3"/>
      <c r="S13" s="15" t="str">
        <f>Eingabe!$C$10</f>
        <v>Spieler 5</v>
      </c>
      <c r="T13" s="1" t="s">
        <v>1</v>
      </c>
      <c r="U13" s="15" t="str">
        <f>Eingabe!$C$12</f>
        <v>Spieler 7</v>
      </c>
      <c r="V13" s="15"/>
      <c r="W13" s="1" t="s">
        <v>14</v>
      </c>
      <c r="X13" s="1" t="s">
        <v>1</v>
      </c>
      <c r="Y13" s="3" t="str">
        <f>IF(W13&lt;=1,1-W13," ")</f>
        <v> </v>
      </c>
      <c r="Z13" s="3"/>
      <c r="AA13" s="3">
        <v>7</v>
      </c>
      <c r="AB13" s="3" t="str">
        <f>IF($AO$34=1,Eingabe!$C$12,"")</f>
        <v>Spieler 7</v>
      </c>
      <c r="AC13" s="3">
        <f>IF($AO$34=2,Eingabe!$C$11,"")</f>
      </c>
      <c r="AD13" s="3">
        <f>IF($AO$34=3,Eingabe!$C$10,"")</f>
      </c>
      <c r="AE13" s="3">
        <f>IF($AO$34=4,Eingabe!$C$9,"")</f>
      </c>
      <c r="AF13" s="3">
        <f>IF($AO$34=5,Eingabe!$C$8,"")</f>
      </c>
      <c r="AG13" s="3">
        <f>IF($AO$34=6,Eingabe!$C$7,"")</f>
      </c>
      <c r="AH13" s="3">
        <f>IF($AO$34=7,Eingabe!$C$6,"")</f>
      </c>
      <c r="AI13" s="1" t="str">
        <f t="shared" si="2"/>
        <v>Spieler 7</v>
      </c>
      <c r="AJ13" s="2"/>
      <c r="AK13" s="3">
        <f t="shared" si="0"/>
        <v>0</v>
      </c>
      <c r="AL13" s="3">
        <v>3</v>
      </c>
      <c r="AM13" s="3">
        <f t="shared" si="1"/>
        <v>0</v>
      </c>
      <c r="AN13" s="3">
        <v>3</v>
      </c>
      <c r="AO13" s="94">
        <v>8</v>
      </c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</row>
    <row r="14" spans="1:228" ht="12.75">
      <c r="A14" t="str">
        <f>IF(Eingabe!$C$13="spielfrei","Tisch 2 :","Tisch 3 :")</f>
        <v>Tisch 3 :</v>
      </c>
      <c r="C14" s="15" t="str">
        <f>Eingabe!$C$11</f>
        <v>Spieler 6</v>
      </c>
      <c r="D14" s="1" t="s">
        <v>1</v>
      </c>
      <c r="E14" s="15" t="str">
        <f>Eingabe!$C$8</f>
        <v>Spieler 3</v>
      </c>
      <c r="F14" s="15"/>
      <c r="G14" s="1" t="s">
        <v>14</v>
      </c>
      <c r="H14" s="1" t="s">
        <v>1</v>
      </c>
      <c r="I14" s="5" t="str">
        <f>IF(G14&lt;=1,1-G14," ")</f>
        <v> </v>
      </c>
      <c r="J14" s="3"/>
      <c r="K14" s="15" t="str">
        <f>Eingabe!$C$10</f>
        <v>Spieler 5</v>
      </c>
      <c r="L14" s="1" t="s">
        <v>1</v>
      </c>
      <c r="M14" s="15" t="str">
        <f>Eingabe!$C$7</f>
        <v>Spieler 2</v>
      </c>
      <c r="N14" s="15"/>
      <c r="O14" s="1" t="s">
        <v>14</v>
      </c>
      <c r="P14" s="1" t="s">
        <v>1</v>
      </c>
      <c r="Q14" s="5" t="str">
        <f>IF(O14&lt;=1,1-O14," ")</f>
        <v> </v>
      </c>
      <c r="R14" s="3"/>
      <c r="S14" s="15" t="str">
        <f>Eingabe!$C$9</f>
        <v>Spieler 4</v>
      </c>
      <c r="T14" s="1" t="s">
        <v>1</v>
      </c>
      <c r="U14" s="15" t="str">
        <f>Eingabe!$C$6</f>
        <v>Spieler 1</v>
      </c>
      <c r="V14" s="15"/>
      <c r="W14" s="1" t="s">
        <v>14</v>
      </c>
      <c r="X14" s="1" t="s">
        <v>1</v>
      </c>
      <c r="Y14" s="3" t="str">
        <f>IF(W14&lt;=1,1-W14," ")</f>
        <v> </v>
      </c>
      <c r="Z14" s="3"/>
      <c r="AA14" s="3">
        <v>8</v>
      </c>
      <c r="AB14" s="3" t="str">
        <f>IF($AO$34=1,Eingabe!$C$13,"")</f>
        <v>Spieler 8 / spielfrei</v>
      </c>
      <c r="AC14" s="3">
        <f>IF($AO$34=2,Eingabe!$C$13,"")</f>
      </c>
      <c r="AD14" s="3">
        <f>IF($AO$34=3,Eingabe!$C$13,"")</f>
      </c>
      <c r="AE14" s="3">
        <f>IF($AO$34=4,Eingabe!$C$13,"")</f>
      </c>
      <c r="AF14" s="3">
        <f>IF($AO$34=5,Eingabe!$C$13,"")</f>
      </c>
      <c r="AG14" s="3">
        <f>IF($AO$34=6,Eingabe!$C$13,"")</f>
      </c>
      <c r="AH14" s="3">
        <f>IF($AO$34=7,Eingabe!$C$13,"")</f>
      </c>
      <c r="AI14" s="1" t="str">
        <f t="shared" si="2"/>
        <v>Spieler 8 / spielfrei</v>
      </c>
      <c r="AJ14" s="2"/>
      <c r="AK14" s="3">
        <f t="shared" si="0"/>
        <v>0</v>
      </c>
      <c r="AL14" s="3">
        <v>4</v>
      </c>
      <c r="AM14" s="3">
        <f t="shared" si="1"/>
        <v>0</v>
      </c>
      <c r="AN14" s="3">
        <v>3</v>
      </c>
      <c r="AO14" s="94">
        <v>9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</row>
    <row r="15" spans="1:228" ht="12.75">
      <c r="A15" t="str">
        <f>IF(Eingabe!$C$13="spielfrei","Tisch 3 :","Tisch 4 :")</f>
        <v>Tisch 4 :</v>
      </c>
      <c r="C15" s="15" t="str">
        <f>Eingabe!$C$10</f>
        <v>Spieler 5</v>
      </c>
      <c r="D15" s="1" t="s">
        <v>1</v>
      </c>
      <c r="E15" s="15" t="str">
        <f>Eingabe!$C$9</f>
        <v>Spieler 4</v>
      </c>
      <c r="F15" s="15"/>
      <c r="G15" s="1" t="s">
        <v>14</v>
      </c>
      <c r="H15" s="1" t="s">
        <v>1</v>
      </c>
      <c r="I15" s="5" t="str">
        <f>IF(G15&lt;=1,1-G15," ")</f>
        <v> </v>
      </c>
      <c r="J15" s="3"/>
      <c r="K15" s="15" t="str">
        <f>Eingabe!$C$9</f>
        <v>Spieler 4</v>
      </c>
      <c r="L15" s="1" t="s">
        <v>1</v>
      </c>
      <c r="M15" s="15" t="str">
        <f>Eingabe!$C$8</f>
        <v>Spieler 3</v>
      </c>
      <c r="N15" s="15"/>
      <c r="O15" s="1" t="s">
        <v>14</v>
      </c>
      <c r="P15" s="1" t="s">
        <v>1</v>
      </c>
      <c r="Q15" s="5" t="str">
        <f>IF(O15&lt;=1,1-O15," ")</f>
        <v> </v>
      </c>
      <c r="R15" s="3"/>
      <c r="S15" s="15" t="str">
        <f>Eingabe!$C$8</f>
        <v>Spieler 3</v>
      </c>
      <c r="T15" s="1" t="s">
        <v>1</v>
      </c>
      <c r="U15" s="15" t="str">
        <f>Eingabe!$C$7</f>
        <v>Spieler 2</v>
      </c>
      <c r="V15" s="15"/>
      <c r="W15" s="1" t="s">
        <v>14</v>
      </c>
      <c r="X15" s="1" t="s">
        <v>1</v>
      </c>
      <c r="Y15" s="3" t="str">
        <f>IF(W15&lt;=1,1-W15," ")</f>
        <v> </v>
      </c>
      <c r="Z15" s="3"/>
      <c r="AA15" s="3"/>
      <c r="AB15" s="3"/>
      <c r="AC15" s="3"/>
      <c r="AD15" s="3"/>
      <c r="AE15" s="3"/>
      <c r="AF15" s="3"/>
      <c r="AG15" s="3"/>
      <c r="AH15" s="3"/>
      <c r="AI15" s="1"/>
      <c r="AJ15" s="2"/>
      <c r="AK15" s="3">
        <f t="shared" si="0"/>
        <v>0</v>
      </c>
      <c r="AL15" s="3">
        <v>4</v>
      </c>
      <c r="AM15" s="3">
        <f t="shared" si="1"/>
        <v>0</v>
      </c>
      <c r="AN15" s="3">
        <v>3</v>
      </c>
      <c r="AO15" s="94">
        <v>10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</row>
    <row r="16" spans="3:228" ht="12.75">
      <c r="C16" s="14"/>
      <c r="D16" s="1"/>
      <c r="E16" s="15"/>
      <c r="F16" s="15"/>
      <c r="G16" s="15" t="s">
        <v>14</v>
      </c>
      <c r="H16" s="1"/>
      <c r="I16" s="2"/>
      <c r="J16" s="2"/>
      <c r="K16" s="14"/>
      <c r="L16" s="1"/>
      <c r="M16" s="15"/>
      <c r="N16" s="15"/>
      <c r="O16" s="15" t="s">
        <v>14</v>
      </c>
      <c r="P16" s="1"/>
      <c r="Q16" s="2"/>
      <c r="R16" s="2"/>
      <c r="S16" s="14"/>
      <c r="T16" s="1"/>
      <c r="U16" s="15"/>
      <c r="V16" s="15"/>
      <c r="W16" s="15" t="s">
        <v>14</v>
      </c>
      <c r="X16" s="1"/>
      <c r="Y16" s="2"/>
      <c r="Z16" s="3"/>
      <c r="AA16" s="3"/>
      <c r="AB16" s="3"/>
      <c r="AC16" s="3"/>
      <c r="AD16" s="3"/>
      <c r="AE16" s="3"/>
      <c r="AF16" s="3"/>
      <c r="AG16" s="3"/>
      <c r="AH16" s="3"/>
      <c r="AI16" s="1"/>
      <c r="AJ16" s="2"/>
      <c r="AK16" s="3">
        <f t="shared" si="0"/>
        <v>0</v>
      </c>
      <c r="AL16" s="3">
        <v>4</v>
      </c>
      <c r="AM16" s="3">
        <f t="shared" si="1"/>
        <v>0</v>
      </c>
      <c r="AN16" s="3">
        <v>3</v>
      </c>
      <c r="AO16" s="94">
        <v>11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</row>
    <row r="17" spans="25:228" ht="12.75">
      <c r="Y17" s="2"/>
      <c r="Z17" s="3"/>
      <c r="AA17" s="3"/>
      <c r="AB17" s="3"/>
      <c r="AC17" s="3"/>
      <c r="AD17" s="3"/>
      <c r="AE17" s="2"/>
      <c r="AF17" s="2"/>
      <c r="AG17" s="2"/>
      <c r="AH17" s="2"/>
      <c r="AI17" s="1"/>
      <c r="AJ17" s="2"/>
      <c r="AK17" s="3">
        <f t="shared" si="0"/>
        <v>0</v>
      </c>
      <c r="AL17" s="3">
        <v>5</v>
      </c>
      <c r="AM17" s="3">
        <f t="shared" si="1"/>
        <v>0</v>
      </c>
      <c r="AN17" s="3">
        <v>4</v>
      </c>
      <c r="AO17" s="94">
        <v>12</v>
      </c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</row>
    <row r="18" spans="4:228" ht="12.75">
      <c r="D18" s="12" t="s">
        <v>15</v>
      </c>
      <c r="L18" s="12" t="s">
        <v>16</v>
      </c>
      <c r="T18" s="12" t="s">
        <v>17</v>
      </c>
      <c r="Y18" s="2"/>
      <c r="Z18" s="3"/>
      <c r="AA18" s="3"/>
      <c r="AB18" s="3"/>
      <c r="AC18" s="3"/>
      <c r="AD18" s="3"/>
      <c r="AE18" s="2"/>
      <c r="AF18" s="2"/>
      <c r="AG18" s="2"/>
      <c r="AH18" s="2"/>
      <c r="AI18" s="2"/>
      <c r="AJ18" s="2"/>
      <c r="AK18" s="3">
        <f t="shared" si="0"/>
        <v>0</v>
      </c>
      <c r="AL18" s="3">
        <v>5</v>
      </c>
      <c r="AM18" s="3">
        <f t="shared" si="1"/>
        <v>0</v>
      </c>
      <c r="AN18" s="3">
        <v>4</v>
      </c>
      <c r="AO18" s="94">
        <v>13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</row>
    <row r="19" spans="3:228" ht="6" customHeight="1">
      <c r="C19" s="12"/>
      <c r="Y19" s="2"/>
      <c r="Z19" s="3"/>
      <c r="AA19" s="3"/>
      <c r="AB19" s="3"/>
      <c r="AC19" s="3"/>
      <c r="AD19" s="3"/>
      <c r="AE19" s="2"/>
      <c r="AF19" s="2"/>
      <c r="AG19" s="2"/>
      <c r="AH19" s="2"/>
      <c r="AI19" s="2"/>
      <c r="AJ19" s="2"/>
      <c r="AK19" s="3">
        <f t="shared" si="0"/>
        <v>0</v>
      </c>
      <c r="AL19" s="3">
        <v>5</v>
      </c>
      <c r="AM19" s="3">
        <f t="shared" si="1"/>
        <v>0</v>
      </c>
      <c r="AN19" s="3">
        <v>4</v>
      </c>
      <c r="AO19" s="94">
        <v>14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</row>
    <row r="20" spans="1:228" ht="12.75">
      <c r="A20" t="str">
        <f>IF(Eingabe!$C$13="spielfrei","","Tisch 1 :")</f>
        <v>Tisch 1 :</v>
      </c>
      <c r="C20" s="15" t="str">
        <f>Eingabe!$C$10</f>
        <v>Spieler 5</v>
      </c>
      <c r="D20" s="1" t="s">
        <v>1</v>
      </c>
      <c r="E20" s="15" t="str">
        <f>Eingabe!$C$13</f>
        <v>Spieler 8 / spielfrei</v>
      </c>
      <c r="F20" s="15"/>
      <c r="G20" s="1" t="s">
        <v>14</v>
      </c>
      <c r="H20" s="60" t="str">
        <f>IF($F$7="spielfrei","",":")</f>
        <v>:</v>
      </c>
      <c r="I20" s="5" t="str">
        <f>IF(G20&lt;=1,1-G20," ")</f>
        <v> </v>
      </c>
      <c r="J20" s="3"/>
      <c r="K20" s="15" t="str">
        <f>Eingabe!$C$9</f>
        <v>Spieler 4</v>
      </c>
      <c r="L20" s="1" t="s">
        <v>1</v>
      </c>
      <c r="M20" s="15" t="str">
        <f>Eingabe!$C$13</f>
        <v>Spieler 8 / spielfrei</v>
      </c>
      <c r="N20" s="15"/>
      <c r="O20" s="1" t="s">
        <v>14</v>
      </c>
      <c r="P20" s="60" t="str">
        <f>IF($F$7="spielfrei","",":")</f>
        <v>:</v>
      </c>
      <c r="Q20" s="5" t="str">
        <f>IF(O20&lt;=1,1-O20," ")</f>
        <v> </v>
      </c>
      <c r="R20" s="3"/>
      <c r="S20" s="15" t="str">
        <f>Eingabe!$C$8</f>
        <v>Spieler 3</v>
      </c>
      <c r="T20" s="1" t="s">
        <v>1</v>
      </c>
      <c r="U20" s="15" t="str">
        <f>Eingabe!$C$13</f>
        <v>Spieler 8 / spielfrei</v>
      </c>
      <c r="V20" s="15"/>
      <c r="W20" s="1" t="s">
        <v>14</v>
      </c>
      <c r="X20" s="60" t="str">
        <f>IF($F$7="spielfrei","",":")</f>
        <v>:</v>
      </c>
      <c r="Y20" s="3" t="str">
        <f>IF(W20&lt;=1,1-W20," ")</f>
        <v> </v>
      </c>
      <c r="Z20" s="3"/>
      <c r="AA20" s="3"/>
      <c r="AB20" s="3"/>
      <c r="AC20" s="3"/>
      <c r="AD20" s="3"/>
      <c r="AE20" s="2"/>
      <c r="AF20" s="2"/>
      <c r="AG20" s="2"/>
      <c r="AH20" s="2"/>
      <c r="AI20" s="2"/>
      <c r="AJ20" s="2"/>
      <c r="AK20" s="3">
        <f t="shared" si="0"/>
        <v>0</v>
      </c>
      <c r="AL20" s="3">
        <v>6</v>
      </c>
      <c r="AM20" s="3">
        <f t="shared" si="1"/>
        <v>0</v>
      </c>
      <c r="AN20" s="3">
        <v>4</v>
      </c>
      <c r="AO20" s="94">
        <v>15</v>
      </c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</row>
    <row r="21" spans="1:228" ht="12.75">
      <c r="A21" t="str">
        <f>IF(Eingabe!$C$13="spielfrei","Tisch 1 :","Tisch 2 :")</f>
        <v>Tisch 2 :</v>
      </c>
      <c r="C21" s="15" t="str">
        <f>Eingabe!$C$9</f>
        <v>Spieler 4</v>
      </c>
      <c r="D21" s="1" t="s">
        <v>1</v>
      </c>
      <c r="E21" s="15" t="str">
        <f>Eingabe!$C$11</f>
        <v>Spieler 6</v>
      </c>
      <c r="F21" s="15"/>
      <c r="G21" s="1" t="s">
        <v>14</v>
      </c>
      <c r="H21" s="1" t="s">
        <v>1</v>
      </c>
      <c r="I21" s="5" t="str">
        <f>IF(G21&lt;=1,1-G21," ")</f>
        <v> </v>
      </c>
      <c r="J21" s="3"/>
      <c r="K21" s="15" t="str">
        <f>Eingabe!$C$8</f>
        <v>Spieler 3</v>
      </c>
      <c r="L21" s="1" t="s">
        <v>1</v>
      </c>
      <c r="M21" s="15" t="str">
        <f>Eingabe!$C$10</f>
        <v>Spieler 5</v>
      </c>
      <c r="N21" s="15"/>
      <c r="O21" s="1" t="s">
        <v>14</v>
      </c>
      <c r="P21" s="1" t="s">
        <v>1</v>
      </c>
      <c r="Q21" s="5" t="str">
        <f>IF(O21&lt;=1,1-O21," ")</f>
        <v> </v>
      </c>
      <c r="R21" s="3"/>
      <c r="S21" s="15" t="str">
        <f>Eingabe!$C$7</f>
        <v>Spieler 2</v>
      </c>
      <c r="T21" s="1" t="s">
        <v>1</v>
      </c>
      <c r="U21" s="15" t="str">
        <f>Eingabe!$C$9</f>
        <v>Spieler 4</v>
      </c>
      <c r="V21" s="15"/>
      <c r="W21" s="1" t="s">
        <v>14</v>
      </c>
      <c r="X21" s="1" t="s">
        <v>1</v>
      </c>
      <c r="Y21" s="3" t="str">
        <f>IF(W21&lt;=1,1-W21," ")</f>
        <v> </v>
      </c>
      <c r="Z21" s="3"/>
      <c r="AA21" s="3"/>
      <c r="AB21" s="3"/>
      <c r="AC21" s="3"/>
      <c r="AD21" s="3"/>
      <c r="AE21" s="2"/>
      <c r="AF21" s="2"/>
      <c r="AG21" s="2"/>
      <c r="AH21" s="2"/>
      <c r="AI21" s="2"/>
      <c r="AJ21" s="2"/>
      <c r="AK21" s="3">
        <f t="shared" si="0"/>
        <v>0</v>
      </c>
      <c r="AL21" s="3">
        <v>6</v>
      </c>
      <c r="AM21" s="3">
        <f t="shared" si="1"/>
        <v>0</v>
      </c>
      <c r="AN21" s="3">
        <v>5</v>
      </c>
      <c r="AO21" s="94">
        <v>16</v>
      </c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</row>
    <row r="22" spans="1:228" ht="12.75">
      <c r="A22" t="str">
        <f>IF(Eingabe!$C$13="spielfrei","Tisch 2 :","Tisch 3 :")</f>
        <v>Tisch 3 :</v>
      </c>
      <c r="C22" s="15" t="str">
        <f>Eingabe!$C$8</f>
        <v>Spieler 3</v>
      </c>
      <c r="D22" s="1" t="s">
        <v>1</v>
      </c>
      <c r="E22" s="15" t="str">
        <f>Eingabe!$C$12</f>
        <v>Spieler 7</v>
      </c>
      <c r="F22" s="15"/>
      <c r="G22" s="1" t="s">
        <v>14</v>
      </c>
      <c r="H22" s="1" t="s">
        <v>1</v>
      </c>
      <c r="I22" s="5" t="str">
        <f>IF(G22&lt;=1,1-G22," ")</f>
        <v> </v>
      </c>
      <c r="J22" s="3"/>
      <c r="K22" s="15" t="str">
        <f>Eingabe!$C$7</f>
        <v>Spieler 2</v>
      </c>
      <c r="L22" s="1" t="s">
        <v>1</v>
      </c>
      <c r="M22" s="15" t="str">
        <f>Eingabe!$C$11</f>
        <v>Spieler 6</v>
      </c>
      <c r="N22" s="15"/>
      <c r="O22" s="1" t="s">
        <v>14</v>
      </c>
      <c r="P22" s="1" t="s">
        <v>1</v>
      </c>
      <c r="Q22" s="5" t="str">
        <f>IF(O22&lt;=1,1-O22," ")</f>
        <v> </v>
      </c>
      <c r="R22" s="3"/>
      <c r="S22" s="15" t="str">
        <f>Eingabe!$C$6</f>
        <v>Spieler 1</v>
      </c>
      <c r="T22" s="1" t="s">
        <v>1</v>
      </c>
      <c r="U22" s="15" t="str">
        <f>Eingabe!$C$10</f>
        <v>Spieler 5</v>
      </c>
      <c r="V22" s="15"/>
      <c r="W22" s="1" t="s">
        <v>14</v>
      </c>
      <c r="X22" s="1" t="s">
        <v>1</v>
      </c>
      <c r="Y22" s="3" t="str">
        <f>IF(W22&lt;=1,1-W22," ")</f>
        <v> </v>
      </c>
      <c r="Z22" s="3"/>
      <c r="AA22" s="3"/>
      <c r="AB22" s="3"/>
      <c r="AC22" s="3"/>
      <c r="AD22" s="3"/>
      <c r="AE22" s="2"/>
      <c r="AF22" s="2"/>
      <c r="AG22" s="2"/>
      <c r="AH22" s="2"/>
      <c r="AI22" s="2"/>
      <c r="AJ22" s="2"/>
      <c r="AK22" s="3">
        <f t="shared" si="0"/>
        <v>0</v>
      </c>
      <c r="AL22" s="3">
        <v>6</v>
      </c>
      <c r="AM22" s="3">
        <f t="shared" si="1"/>
        <v>0</v>
      </c>
      <c r="AN22" s="3">
        <v>5</v>
      </c>
      <c r="AO22" s="94">
        <v>17</v>
      </c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</row>
    <row r="23" spans="1:228" ht="12.75">
      <c r="A23" t="str">
        <f>IF(Eingabe!$C$13="spielfrei","Tisch 3 :","Tisch 4 :")</f>
        <v>Tisch 4 :</v>
      </c>
      <c r="C23" s="15" t="str">
        <f>Eingabe!$C$7</f>
        <v>Spieler 2</v>
      </c>
      <c r="D23" s="1" t="s">
        <v>1</v>
      </c>
      <c r="E23" s="15" t="str">
        <f>Eingabe!$C$6</f>
        <v>Spieler 1</v>
      </c>
      <c r="F23" s="15"/>
      <c r="G23" s="1" t="s">
        <v>14</v>
      </c>
      <c r="H23" s="1" t="s">
        <v>1</v>
      </c>
      <c r="I23" s="5" t="str">
        <f>IF(G23&lt;=1,1-G23," ")</f>
        <v> </v>
      </c>
      <c r="J23" s="3"/>
      <c r="K23" s="15" t="str">
        <f>Eingabe!$C$6</f>
        <v>Spieler 1</v>
      </c>
      <c r="L23" s="1" t="s">
        <v>1</v>
      </c>
      <c r="M23" s="15" t="str">
        <f>Eingabe!$C$12</f>
        <v>Spieler 7</v>
      </c>
      <c r="N23" s="15"/>
      <c r="O23" s="1" t="s">
        <v>14</v>
      </c>
      <c r="P23" s="1" t="s">
        <v>1</v>
      </c>
      <c r="Q23" s="5" t="str">
        <f>IF(O23&lt;=1,1-O23," ")</f>
        <v> </v>
      </c>
      <c r="R23" s="3"/>
      <c r="S23" s="15" t="str">
        <f>Eingabe!$C$12</f>
        <v>Spieler 7</v>
      </c>
      <c r="T23" s="1" t="s">
        <v>1</v>
      </c>
      <c r="U23" s="15" t="str">
        <f>Eingabe!$C$11</f>
        <v>Spieler 6</v>
      </c>
      <c r="V23" s="15"/>
      <c r="W23" s="1" t="s">
        <v>14</v>
      </c>
      <c r="X23" s="1" t="s">
        <v>1</v>
      </c>
      <c r="Y23" s="3" t="str">
        <f>IF(W23&lt;=1,1-W23," ")</f>
        <v> </v>
      </c>
      <c r="Z23" s="3"/>
      <c r="AA23" s="3"/>
      <c r="AB23" s="3"/>
      <c r="AC23" s="3"/>
      <c r="AD23" s="3"/>
      <c r="AE23" s="2"/>
      <c r="AF23" s="2"/>
      <c r="AG23" s="2"/>
      <c r="AH23" s="2"/>
      <c r="AI23" s="2"/>
      <c r="AJ23" s="2"/>
      <c r="AK23" s="3">
        <f t="shared" si="0"/>
        <v>0</v>
      </c>
      <c r="AL23" s="3">
        <v>7</v>
      </c>
      <c r="AM23" s="3">
        <f t="shared" si="1"/>
        <v>0</v>
      </c>
      <c r="AN23" s="3">
        <v>5</v>
      </c>
      <c r="AO23" s="94">
        <v>18</v>
      </c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</row>
    <row r="24" spans="7:228" ht="12.75">
      <c r="G24" s="1"/>
      <c r="I24" s="94"/>
      <c r="W24" t="s">
        <v>14</v>
      </c>
      <c r="Z24" s="3"/>
      <c r="AA24" s="3"/>
      <c r="AB24" s="3"/>
      <c r="AC24" s="3"/>
      <c r="AD24" s="3"/>
      <c r="AE24" s="2"/>
      <c r="AF24" s="2"/>
      <c r="AG24" s="2"/>
      <c r="AH24" s="2"/>
      <c r="AI24" s="2"/>
      <c r="AJ24" s="2"/>
      <c r="AK24" s="3">
        <f t="shared" si="0"/>
        <v>0</v>
      </c>
      <c r="AL24" s="3">
        <v>7</v>
      </c>
      <c r="AM24" s="3">
        <f t="shared" si="1"/>
        <v>0</v>
      </c>
      <c r="AN24" s="3">
        <v>5</v>
      </c>
      <c r="AO24" s="94">
        <v>19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</row>
    <row r="25" spans="26:228" ht="12.75">
      <c r="Z25" s="3"/>
      <c r="AA25" s="3"/>
      <c r="AB25" s="3"/>
      <c r="AC25" s="3"/>
      <c r="AD25" s="3"/>
      <c r="AE25" s="2"/>
      <c r="AF25" s="2"/>
      <c r="AG25" s="2"/>
      <c r="AH25" s="2"/>
      <c r="AI25" s="2"/>
      <c r="AJ25" s="2"/>
      <c r="AK25" s="3">
        <f t="shared" si="0"/>
        <v>0</v>
      </c>
      <c r="AL25" s="3">
        <v>7</v>
      </c>
      <c r="AM25" s="3">
        <f t="shared" si="1"/>
        <v>0</v>
      </c>
      <c r="AN25" s="3">
        <v>6</v>
      </c>
      <c r="AO25" s="94">
        <v>20</v>
      </c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</row>
    <row r="26" spans="4:228" ht="12.75">
      <c r="D26" s="12" t="s">
        <v>18</v>
      </c>
      <c r="K26" s="10"/>
      <c r="L26" s="2"/>
      <c r="M26" s="2"/>
      <c r="N26" s="2"/>
      <c r="O26" s="2"/>
      <c r="P26" s="2"/>
      <c r="Q26" s="2"/>
      <c r="R26" s="2"/>
      <c r="S26" s="10"/>
      <c r="T26" s="2"/>
      <c r="U26" s="2"/>
      <c r="V26" s="2"/>
      <c r="W26" s="2"/>
      <c r="X26" s="2"/>
      <c r="Y26" s="2"/>
      <c r="AA26" s="3"/>
      <c r="AB26" s="3"/>
      <c r="AC26" s="3"/>
      <c r="AD26" s="3"/>
      <c r="AE26" s="2"/>
      <c r="AF26" s="2"/>
      <c r="AG26" s="2"/>
      <c r="AH26" s="2"/>
      <c r="AI26" s="2"/>
      <c r="AJ26" s="2"/>
      <c r="AK26" s="3">
        <f t="shared" si="0"/>
        <v>0</v>
      </c>
      <c r="AL26" s="3">
        <v>7</v>
      </c>
      <c r="AM26" s="3">
        <f t="shared" si="1"/>
        <v>0</v>
      </c>
      <c r="AN26" s="3">
        <v>6</v>
      </c>
      <c r="AO26" s="94">
        <v>21</v>
      </c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</row>
    <row r="27" spans="3:228" ht="6" customHeight="1">
      <c r="C27" s="1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AA27" s="3"/>
      <c r="AB27" s="3"/>
      <c r="AC27" s="3"/>
      <c r="AD27" s="3"/>
      <c r="AE27" s="2"/>
      <c r="AF27" s="2"/>
      <c r="AG27" s="2"/>
      <c r="AH27" s="2"/>
      <c r="AI27" s="2"/>
      <c r="AJ27" s="2"/>
      <c r="AK27" s="3"/>
      <c r="AL27" s="3"/>
      <c r="AM27" s="3">
        <f t="shared" si="1"/>
        <v>0</v>
      </c>
      <c r="AN27" s="3">
        <v>6</v>
      </c>
      <c r="AO27" s="94">
        <v>22</v>
      </c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</row>
    <row r="28" spans="1:228" ht="12.75">
      <c r="A28" t="str">
        <f>IF(Eingabe!$C$13="spielfrei","","Tisch 1 :")</f>
        <v>Tisch 1 :</v>
      </c>
      <c r="C28" s="15" t="str">
        <f>Eingabe!$C$7</f>
        <v>Spieler 2</v>
      </c>
      <c r="D28" s="1" t="s">
        <v>1</v>
      </c>
      <c r="E28" s="15" t="str">
        <f>Eingabe!$C$13</f>
        <v>Spieler 8 / spielfrei</v>
      </c>
      <c r="F28" s="15"/>
      <c r="G28" s="1" t="s">
        <v>14</v>
      </c>
      <c r="H28" s="60" t="str">
        <f>IF($F$7="spielfrei","",":")</f>
        <v>:</v>
      </c>
      <c r="I28" s="5" t="str">
        <f>IF(G28&lt;=1,1-G28," ")</f>
        <v> </v>
      </c>
      <c r="J28" s="3"/>
      <c r="K28" s="39"/>
      <c r="L28" s="3"/>
      <c r="M28" s="38"/>
      <c r="N28" s="38"/>
      <c r="O28" s="3"/>
      <c r="P28" s="3"/>
      <c r="Q28" s="3"/>
      <c r="R28" s="3"/>
      <c r="S28" s="39"/>
      <c r="T28" s="3"/>
      <c r="U28" s="38"/>
      <c r="V28" s="38"/>
      <c r="W28" s="3"/>
      <c r="X28" s="3"/>
      <c r="Y28" s="3"/>
      <c r="Z28" s="3"/>
      <c r="AA28" s="3"/>
      <c r="AB28" s="3"/>
      <c r="AC28" s="3"/>
      <c r="AD28" s="3"/>
      <c r="AE28" s="2"/>
      <c r="AF28" s="2"/>
      <c r="AG28" s="2"/>
      <c r="AH28" s="2"/>
      <c r="AI28" s="2"/>
      <c r="AJ28" s="2"/>
      <c r="AK28" s="3"/>
      <c r="AL28" s="3"/>
      <c r="AM28" s="3">
        <f t="shared" si="1"/>
        <v>0</v>
      </c>
      <c r="AN28" s="3">
        <v>6</v>
      </c>
      <c r="AO28" s="94">
        <v>23</v>
      </c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</row>
    <row r="29" spans="1:228" ht="12.75">
      <c r="A29" t="str">
        <f>IF(Eingabe!$C$13="spielfrei","Tisch 1 :","Tisch 2 :")</f>
        <v>Tisch 2 :</v>
      </c>
      <c r="C29" s="15" t="str">
        <f>Eingabe!$C$6</f>
        <v>Spieler 1</v>
      </c>
      <c r="D29" s="1" t="s">
        <v>1</v>
      </c>
      <c r="E29" s="15" t="str">
        <f>Eingabe!$C$8</f>
        <v>Spieler 3</v>
      </c>
      <c r="F29" s="15"/>
      <c r="G29" s="1" t="s">
        <v>14</v>
      </c>
      <c r="H29" s="1" t="s">
        <v>1</v>
      </c>
      <c r="I29" s="5" t="str">
        <f>IF(G29&lt;=1,1-G29," ")</f>
        <v> </v>
      </c>
      <c r="J29" s="3"/>
      <c r="K29" s="39"/>
      <c r="L29" s="3"/>
      <c r="M29" s="38"/>
      <c r="N29" s="38"/>
      <c r="O29" s="3"/>
      <c r="P29" s="3"/>
      <c r="Q29" s="3"/>
      <c r="R29" s="3"/>
      <c r="S29" s="39"/>
      <c r="T29" s="3"/>
      <c r="U29" s="38"/>
      <c r="V29" s="38"/>
      <c r="W29" s="3"/>
      <c r="X29" s="3"/>
      <c r="Y29" s="3"/>
      <c r="Z29" s="3"/>
      <c r="AA29" s="3"/>
      <c r="AB29" s="3"/>
      <c r="AC29" s="3"/>
      <c r="AD29" s="3"/>
      <c r="AE29" s="2"/>
      <c r="AF29" s="2"/>
      <c r="AG29" s="2"/>
      <c r="AH29" s="2"/>
      <c r="AI29" s="2"/>
      <c r="AJ29" s="2"/>
      <c r="AK29" s="3"/>
      <c r="AL29" s="3"/>
      <c r="AM29" s="3">
        <f t="shared" si="1"/>
        <v>0</v>
      </c>
      <c r="AN29" s="3">
        <v>7</v>
      </c>
      <c r="AO29" s="94">
        <v>24</v>
      </c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</row>
    <row r="30" spans="1:228" ht="12.75">
      <c r="A30" t="str">
        <f>IF(Eingabe!$C$13="spielfrei","Tisch 2 :","Tisch 3 :")</f>
        <v>Tisch 3 :</v>
      </c>
      <c r="C30" s="15" t="str">
        <f>Eingabe!$C$12</f>
        <v>Spieler 7</v>
      </c>
      <c r="D30" s="1" t="s">
        <v>1</v>
      </c>
      <c r="E30" s="15" t="str">
        <f>Eingabe!$C$9</f>
        <v>Spieler 4</v>
      </c>
      <c r="F30" s="15"/>
      <c r="G30" s="1" t="s">
        <v>14</v>
      </c>
      <c r="H30" s="1" t="s">
        <v>1</v>
      </c>
      <c r="I30" s="5" t="str">
        <f>IF(G30&lt;=1,1-G30," ")</f>
        <v> </v>
      </c>
      <c r="J30" s="3"/>
      <c r="K30" s="39"/>
      <c r="L30" s="3"/>
      <c r="M30" s="38"/>
      <c r="N30" s="38"/>
      <c r="O30" s="3"/>
      <c r="P30" s="3"/>
      <c r="Q30" s="3"/>
      <c r="R30" s="3"/>
      <c r="S30" s="39"/>
      <c r="T30" s="3"/>
      <c r="U30" s="38"/>
      <c r="V30" s="38"/>
      <c r="W30" s="3"/>
      <c r="X30" s="3"/>
      <c r="Y30" s="3"/>
      <c r="Z30" s="3"/>
      <c r="AA30" s="3"/>
      <c r="AB30" s="3"/>
      <c r="AC30" s="3"/>
      <c r="AD30" s="3"/>
      <c r="AE30" s="2"/>
      <c r="AF30" s="2"/>
      <c r="AG30" s="2"/>
      <c r="AH30" s="2"/>
      <c r="AI30" s="2"/>
      <c r="AJ30" s="2"/>
      <c r="AK30" s="3"/>
      <c r="AL30" s="3"/>
      <c r="AM30" s="3">
        <f t="shared" si="1"/>
        <v>0</v>
      </c>
      <c r="AN30" s="3">
        <v>7</v>
      </c>
      <c r="AO30" s="94">
        <v>25</v>
      </c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</row>
    <row r="31" spans="1:228" ht="12.75">
      <c r="A31" t="str">
        <f>IF(Eingabe!$C$13="spielfrei","Tisch 3 :","Tisch 4 :")</f>
        <v>Tisch 4 :</v>
      </c>
      <c r="C31" s="15" t="str">
        <f>Eingabe!$C$11</f>
        <v>Spieler 6</v>
      </c>
      <c r="D31" s="1" t="s">
        <v>1</v>
      </c>
      <c r="E31" s="15" t="str">
        <f>Eingabe!$C$10</f>
        <v>Spieler 5</v>
      </c>
      <c r="F31" s="15"/>
      <c r="G31" s="1" t="s">
        <v>14</v>
      </c>
      <c r="H31" s="1" t="s">
        <v>1</v>
      </c>
      <c r="I31" s="5" t="str">
        <f>IF(G31&lt;=1,1-G31," ")</f>
        <v> </v>
      </c>
      <c r="J31" s="3"/>
      <c r="K31" s="39"/>
      <c r="L31" s="3"/>
      <c r="M31" s="38"/>
      <c r="N31" s="38"/>
      <c r="O31" s="3"/>
      <c r="P31" s="3"/>
      <c r="Q31" s="3"/>
      <c r="R31" s="3"/>
      <c r="S31" s="39"/>
      <c r="T31" s="3"/>
      <c r="U31" s="38"/>
      <c r="V31" s="38"/>
      <c r="W31" s="3"/>
      <c r="X31" s="3"/>
      <c r="Y31" s="3"/>
      <c r="Z31" s="3"/>
      <c r="AA31" s="3"/>
      <c r="AB31" s="3"/>
      <c r="AC31" s="3"/>
      <c r="AD31" s="3"/>
      <c r="AE31" s="2"/>
      <c r="AF31" s="2"/>
      <c r="AG31" s="2"/>
      <c r="AH31" s="2"/>
      <c r="AI31" s="2"/>
      <c r="AJ31" s="2"/>
      <c r="AK31" s="3"/>
      <c r="AL31" s="3"/>
      <c r="AM31" s="3">
        <f t="shared" si="1"/>
        <v>0</v>
      </c>
      <c r="AN31" s="3">
        <v>7</v>
      </c>
      <c r="AO31" s="94">
        <v>26</v>
      </c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</row>
    <row r="32" spans="11:228" ht="12.75"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  <c r="AB32" s="3"/>
      <c r="AC32" s="3"/>
      <c r="AD32" s="3"/>
      <c r="AE32" s="2"/>
      <c r="AF32" s="2"/>
      <c r="AG32" s="2"/>
      <c r="AH32" s="2"/>
      <c r="AI32" s="2"/>
      <c r="AJ32" s="2"/>
      <c r="AK32" s="3"/>
      <c r="AL32" s="3"/>
      <c r="AM32" s="3">
        <f t="shared" si="1"/>
        <v>0</v>
      </c>
      <c r="AN32" s="3">
        <v>7</v>
      </c>
      <c r="AO32" s="94">
        <v>27</v>
      </c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</row>
    <row r="33" spans="26:228" ht="12.75">
      <c r="Z33" s="3"/>
      <c r="AA33" s="3"/>
      <c r="AB33" s="3"/>
      <c r="AC33" s="3"/>
      <c r="AD33" s="3"/>
      <c r="AE33" s="2"/>
      <c r="AF33" s="2"/>
      <c r="AG33" s="2"/>
      <c r="AH33" s="2"/>
      <c r="AI33" s="2"/>
      <c r="AJ33" s="2"/>
      <c r="AK33" s="3"/>
      <c r="AL33" s="3"/>
      <c r="AM33" s="3">
        <f t="shared" si="1"/>
        <v>0</v>
      </c>
      <c r="AN33" s="3">
        <v>7</v>
      </c>
      <c r="AO33" s="94">
        <v>28</v>
      </c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</row>
    <row r="34" spans="27:41" ht="12.75">
      <c r="AA34" s="3"/>
      <c r="AB34" s="3"/>
      <c r="AC34" s="3"/>
      <c r="AD34" s="3"/>
      <c r="AE34" s="2"/>
      <c r="AF34" s="2"/>
      <c r="AG34" s="2"/>
      <c r="AH34" s="2"/>
      <c r="AI34" s="2"/>
      <c r="AJ34" s="2"/>
      <c r="AK34" s="3">
        <f>SUM(AK5:AK33)</f>
        <v>0</v>
      </c>
      <c r="AL34" s="3"/>
      <c r="AM34" s="3">
        <f>SUM(AM5:AM33)</f>
        <v>1</v>
      </c>
      <c r="AN34" s="3"/>
      <c r="AO34" s="3">
        <f>IF(COUNTA(G1)=1,G1,AK34+AM34)</f>
        <v>1</v>
      </c>
    </row>
    <row r="35" spans="26:41" ht="12.75">
      <c r="Z35" s="3"/>
      <c r="AA35" s="3"/>
      <c r="AB35" s="3"/>
      <c r="AC35" s="3"/>
      <c r="AD35" s="3"/>
      <c r="AE35" s="2"/>
      <c r="AF35" s="2"/>
      <c r="AG35" s="2"/>
      <c r="AH35" s="2"/>
      <c r="AI35" s="2"/>
      <c r="AJ35" s="2"/>
      <c r="AK35" s="3"/>
      <c r="AL35" s="3"/>
      <c r="AM35" s="3"/>
      <c r="AN35" s="94"/>
      <c r="AO35" s="94"/>
    </row>
    <row r="36" spans="26:41" ht="12.75">
      <c r="Z36" s="3"/>
      <c r="AA36" s="3"/>
      <c r="AB36" s="3"/>
      <c r="AC36" s="3"/>
      <c r="AD36" s="3"/>
      <c r="AE36" s="2"/>
      <c r="AF36" s="2"/>
      <c r="AG36" s="2"/>
      <c r="AH36" s="2"/>
      <c r="AI36" s="2"/>
      <c r="AJ36" s="2"/>
      <c r="AK36" s="3"/>
      <c r="AL36" s="3"/>
      <c r="AM36" s="3"/>
      <c r="AN36" s="94"/>
      <c r="AO36" s="94"/>
    </row>
    <row r="37" spans="27:41" ht="12.75">
      <c r="AA37" s="3"/>
      <c r="AB37" s="3"/>
      <c r="AC37" s="1"/>
      <c r="AD37" s="1"/>
      <c r="AK37" s="3"/>
      <c r="AL37" s="3"/>
      <c r="AM37" s="3"/>
      <c r="AN37" s="94"/>
      <c r="AO37" s="1"/>
    </row>
    <row r="38" spans="27:41" ht="12.75">
      <c r="AA38" s="3"/>
      <c r="AB38" s="3"/>
      <c r="AC38" s="1"/>
      <c r="AD38" s="1"/>
      <c r="AK38" s="3"/>
      <c r="AL38" s="94"/>
      <c r="AM38" s="3"/>
      <c r="AN38" s="94"/>
      <c r="AO38" s="1"/>
    </row>
    <row r="39" spans="27:41" ht="12.75">
      <c r="AA39" s="3"/>
      <c r="AB39" s="3"/>
      <c r="AC39" s="1"/>
      <c r="AD39" s="1"/>
      <c r="AK39" s="3"/>
      <c r="AL39" s="94"/>
      <c r="AM39" s="3"/>
      <c r="AN39" s="94"/>
      <c r="AO39" s="1"/>
    </row>
    <row r="40" spans="27:41" ht="12.75">
      <c r="AA40" s="3"/>
      <c r="AB40" s="3"/>
      <c r="AC40" s="1"/>
      <c r="AD40" s="1"/>
      <c r="AK40" s="3"/>
      <c r="AL40" s="94"/>
      <c r="AM40" s="3"/>
      <c r="AN40" s="94"/>
      <c r="AO40" s="1"/>
    </row>
    <row r="41" spans="27:41" ht="12.75">
      <c r="AA41" s="3"/>
      <c r="AB41" s="3"/>
      <c r="AC41" s="1"/>
      <c r="AD41" s="1"/>
      <c r="AK41" s="3"/>
      <c r="AL41" s="94"/>
      <c r="AM41" s="3"/>
      <c r="AN41" s="94"/>
      <c r="AO41" s="1"/>
    </row>
    <row r="42" spans="27:41" ht="12.75">
      <c r="AA42" s="3"/>
      <c r="AB42" s="3"/>
      <c r="AC42" s="1"/>
      <c r="AD42" s="1"/>
      <c r="AM42" s="3"/>
      <c r="AN42" s="94"/>
      <c r="AO42" s="1"/>
    </row>
    <row r="43" spans="27:41" ht="12.75">
      <c r="AA43" s="3"/>
      <c r="AB43" s="3"/>
      <c r="AC43" s="1"/>
      <c r="AD43" s="1"/>
      <c r="AM43" s="3"/>
      <c r="AN43" s="94"/>
      <c r="AO43" s="1"/>
    </row>
    <row r="44" spans="28:41" ht="12.75">
      <c r="AB44" s="1"/>
      <c r="AC44" s="1"/>
      <c r="AD44" s="1"/>
      <c r="AK44" s="3"/>
      <c r="AL44" s="3"/>
      <c r="AM44" s="3"/>
      <c r="AN44" s="3"/>
      <c r="AO44" s="3"/>
    </row>
    <row r="45" spans="28:41" ht="12.75">
      <c r="AB45" s="1"/>
      <c r="AC45" s="1"/>
      <c r="AD45" s="1"/>
      <c r="AM45" s="3"/>
      <c r="AN45" s="94"/>
      <c r="AO45" s="1"/>
    </row>
    <row r="46" spans="28:41" ht="12.75">
      <c r="AB46" s="1"/>
      <c r="AC46" s="1"/>
      <c r="AD46" s="1"/>
      <c r="AM46" s="3"/>
      <c r="AN46" s="94"/>
      <c r="AO46" s="1"/>
    </row>
    <row r="47" spans="28:41" ht="12.75">
      <c r="AB47" s="1"/>
      <c r="AC47" s="1"/>
      <c r="AD47" s="1"/>
      <c r="AM47" s="3"/>
      <c r="AN47" s="94"/>
      <c r="AO47" s="1"/>
    </row>
    <row r="48" spans="28:41" ht="12.75">
      <c r="AB48" s="1"/>
      <c r="AC48" s="1"/>
      <c r="AD48" s="1"/>
      <c r="AM48" s="3"/>
      <c r="AN48" s="94"/>
      <c r="AO48" s="1"/>
    </row>
    <row r="49" spans="28:41" ht="12.75">
      <c r="AB49" s="1"/>
      <c r="AC49" s="1"/>
      <c r="AD49" s="1"/>
      <c r="AM49" s="3"/>
      <c r="AN49" s="94"/>
      <c r="AO49" s="1"/>
    </row>
    <row r="50" spans="28:41" ht="12.75">
      <c r="AB50" s="1"/>
      <c r="AC50" s="1"/>
      <c r="AD50" s="1"/>
      <c r="AK50" s="3"/>
      <c r="AL50" s="3"/>
      <c r="AM50" s="3"/>
      <c r="AN50" s="3"/>
      <c r="AO50" s="3"/>
    </row>
    <row r="51" spans="28:30" ht="12.75">
      <c r="AB51" s="1"/>
      <c r="AC51" s="1"/>
      <c r="AD51" s="1"/>
    </row>
  </sheetData>
  <mergeCells count="14">
    <mergeCell ref="F3:I3"/>
    <mergeCell ref="J3:M3"/>
    <mergeCell ref="N3:Q3"/>
    <mergeCell ref="B1:C1"/>
    <mergeCell ref="D1:E1"/>
    <mergeCell ref="F8:U8"/>
    <mergeCell ref="R6:U6"/>
    <mergeCell ref="R4:U4"/>
    <mergeCell ref="F6:I6"/>
    <mergeCell ref="F4:I4"/>
    <mergeCell ref="J4:M4"/>
    <mergeCell ref="N4:Q4"/>
    <mergeCell ref="J6:M6"/>
    <mergeCell ref="N6:Q6"/>
  </mergeCells>
  <conditionalFormatting sqref="D1:E1">
    <cfRule type="expression" priority="1" dxfId="0" stopIfTrue="1">
      <formula>$G1&gt;0</formula>
    </cfRule>
  </conditionalFormatting>
  <conditionalFormatting sqref="F1">
    <cfRule type="expression" priority="2" dxfId="1" stopIfTrue="1">
      <formula>$G1&gt;0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BQ45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57421875" style="1" customWidth="1"/>
    <col min="3" max="3" width="22.00390625" style="0" customWidth="1"/>
    <col min="4" max="11" width="5.421875" style="0" customWidth="1"/>
    <col min="15" max="15" width="2.7109375" style="0" customWidth="1"/>
    <col min="26" max="26" width="11.421875" style="0" hidden="1" customWidth="1"/>
    <col min="27" max="27" width="5.421875" style="2" hidden="1" customWidth="1"/>
    <col min="28" max="28" width="25.421875" style="2" hidden="1" customWidth="1"/>
    <col min="29" max="36" width="5.421875" style="2" hidden="1" customWidth="1"/>
    <col min="37" max="39" width="11.421875" style="0" hidden="1" customWidth="1"/>
    <col min="40" max="40" width="11.421875" style="96" hidden="1" customWidth="1"/>
    <col min="41" max="41" width="11.421875" style="0" hidden="1" customWidth="1"/>
    <col min="42" max="42" width="0" style="0" hidden="1" customWidth="1"/>
  </cols>
  <sheetData>
    <row r="2" spans="2:36" ht="24.75" customHeight="1">
      <c r="B2" s="83" t="str">
        <f>Eingabe!$G$3</f>
        <v>z.B. Monatsblitzturnier</v>
      </c>
      <c r="C2" s="13"/>
      <c r="D2" s="17"/>
      <c r="E2" s="17"/>
      <c r="F2" s="13"/>
      <c r="G2" s="35"/>
      <c r="H2" s="17"/>
      <c r="I2" s="17"/>
      <c r="J2" s="17"/>
      <c r="K2" s="17"/>
      <c r="M2" s="36" t="s">
        <v>10</v>
      </c>
      <c r="N2" s="37" t="str">
        <f>N16</f>
        <v>??.??.????</v>
      </c>
      <c r="AA2" s="17"/>
      <c r="AB2" s="17"/>
      <c r="AC2" s="17"/>
      <c r="AD2" s="35"/>
      <c r="AE2" s="17"/>
      <c r="AF2" s="17"/>
      <c r="AG2" s="17"/>
      <c r="AH2" s="17"/>
      <c r="AI2" s="17"/>
      <c r="AJ2" s="17"/>
    </row>
    <row r="3" spans="2:40" s="19" customFormat="1" ht="18.75" thickBot="1">
      <c r="B3" s="20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AN3" s="96"/>
    </row>
    <row r="4" spans="1:69" s="8" customFormat="1" ht="24.75" customHeight="1">
      <c r="A4" s="6"/>
      <c r="B4" s="21" t="s">
        <v>19</v>
      </c>
      <c r="C4" s="22" t="s">
        <v>20</v>
      </c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32">
        <v>8</v>
      </c>
      <c r="L4" s="21" t="s">
        <v>21</v>
      </c>
      <c r="M4" s="59" t="s">
        <v>22</v>
      </c>
      <c r="N4" s="23" t="s">
        <v>23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21"/>
      <c r="AB4" s="22" t="s">
        <v>20</v>
      </c>
      <c r="AC4" s="24">
        <v>1</v>
      </c>
      <c r="AD4" s="24">
        <v>2</v>
      </c>
      <c r="AE4" s="24">
        <v>3</v>
      </c>
      <c r="AF4" s="24">
        <v>4</v>
      </c>
      <c r="AG4" s="24">
        <v>5</v>
      </c>
      <c r="AH4" s="24">
        <v>6</v>
      </c>
      <c r="AI4" s="24">
        <v>7</v>
      </c>
      <c r="AJ4" s="24">
        <v>8</v>
      </c>
      <c r="AK4" s="21" t="s">
        <v>21</v>
      </c>
      <c r="AL4" s="59" t="s">
        <v>22</v>
      </c>
      <c r="AM4" s="23" t="s">
        <v>23</v>
      </c>
      <c r="AN4" s="97"/>
      <c r="AO4" s="98" t="s">
        <v>32</v>
      </c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2:69" ht="24.75" customHeight="1">
      <c r="B5" s="11">
        <v>1</v>
      </c>
      <c r="C5" s="30" t="str">
        <f aca="true" t="shared" si="0" ref="C5:C12">AB19</f>
        <v>Spieler 1</v>
      </c>
      <c r="D5" s="28" t="str">
        <f aca="true" t="shared" si="1" ref="D5:K12">AC31</f>
        <v> </v>
      </c>
      <c r="E5" s="25" t="str">
        <f t="shared" si="1"/>
        <v> </v>
      </c>
      <c r="F5" s="25" t="str">
        <f t="shared" si="1"/>
        <v> </v>
      </c>
      <c r="G5" s="25" t="str">
        <f t="shared" si="1"/>
        <v> </v>
      </c>
      <c r="H5" s="25" t="str">
        <f t="shared" si="1"/>
        <v> </v>
      </c>
      <c r="I5" s="25" t="str">
        <f t="shared" si="1"/>
        <v> </v>
      </c>
      <c r="J5" s="25" t="str">
        <f t="shared" si="1"/>
        <v> </v>
      </c>
      <c r="K5" s="25" t="str">
        <f t="shared" si="1"/>
        <v> </v>
      </c>
      <c r="L5" s="77" t="str">
        <f aca="true" t="shared" si="2" ref="L5:N12">AK19</f>
        <v> </v>
      </c>
      <c r="M5" s="64">
        <f t="shared" si="2"/>
      </c>
      <c r="N5" s="66" t="str">
        <f t="shared" si="2"/>
        <v> 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>
        <f>RANK(AO5,$AO$5:$AO$14,0)</f>
        <v>1</v>
      </c>
      <c r="AA5" s="11">
        <v>1</v>
      </c>
      <c r="AB5" s="30" t="str">
        <f>Eingabe!$C$6</f>
        <v>Spieler 1</v>
      </c>
      <c r="AC5" s="99" t="s">
        <v>14</v>
      </c>
      <c r="AD5" s="100" t="str">
        <f>'8 Spieler'!$I$23</f>
        <v> </v>
      </c>
      <c r="AE5" s="100" t="str">
        <f>'8 Spieler'!$G$29</f>
        <v> </v>
      </c>
      <c r="AF5" s="100" t="str">
        <f>'8 Spieler'!$Y$14</f>
        <v> </v>
      </c>
      <c r="AG5" s="100" t="str">
        <f>'8 Spieler'!$W$22</f>
        <v> </v>
      </c>
      <c r="AH5" s="100" t="str">
        <f>'8 Spieler'!$Q$13</f>
        <v> </v>
      </c>
      <c r="AI5" s="100" t="str">
        <f>'8 Spieler'!$O$23</f>
        <v> </v>
      </c>
      <c r="AJ5" s="100" t="str">
        <f>'8 Spieler'!$G$12</f>
        <v> </v>
      </c>
      <c r="AK5" s="77" t="str">
        <f aca="true" t="shared" si="3" ref="AK5:AM12">L19</f>
        <v> </v>
      </c>
      <c r="AL5" s="64">
        <f t="shared" si="3"/>
      </c>
      <c r="AM5" s="66" t="str">
        <f t="shared" si="3"/>
        <v> </v>
      </c>
      <c r="AN5" s="101">
        <v>1</v>
      </c>
      <c r="AO5" s="3">
        <f>'Tabelle 8'!N5</f>
        <v>0.1</v>
      </c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2:69" ht="24.75" customHeight="1">
      <c r="B6" s="11">
        <v>2</v>
      </c>
      <c r="C6" s="30" t="str">
        <f t="shared" si="0"/>
        <v>Spieler 2</v>
      </c>
      <c r="D6" s="25" t="str">
        <f t="shared" si="1"/>
        <v> </v>
      </c>
      <c r="E6" s="28" t="str">
        <f t="shared" si="1"/>
        <v> </v>
      </c>
      <c r="F6" s="25" t="str">
        <f t="shared" si="1"/>
        <v> </v>
      </c>
      <c r="G6" s="25" t="str">
        <f t="shared" si="1"/>
        <v> </v>
      </c>
      <c r="H6" s="25" t="str">
        <f t="shared" si="1"/>
        <v> </v>
      </c>
      <c r="I6" s="25" t="str">
        <f t="shared" si="1"/>
        <v> </v>
      </c>
      <c r="J6" s="25" t="str">
        <f t="shared" si="1"/>
        <v> </v>
      </c>
      <c r="K6" s="29" t="str">
        <f t="shared" si="1"/>
        <v> </v>
      </c>
      <c r="L6" s="77" t="str">
        <f t="shared" si="2"/>
        <v> </v>
      </c>
      <c r="M6" s="64">
        <f t="shared" si="2"/>
      </c>
      <c r="N6" s="66" t="str">
        <f t="shared" si="2"/>
        <v> 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f aca="true" t="shared" si="4" ref="Z6:Z12">RANK(AO6,$AO$5:$AO$14,0)</f>
        <v>2</v>
      </c>
      <c r="AA6" s="11">
        <v>2</v>
      </c>
      <c r="AB6" s="30" t="str">
        <f>Eingabe!$C$7</f>
        <v>Spieler 2</v>
      </c>
      <c r="AC6" s="100" t="str">
        <f>'8 Spieler'!$G$23</f>
        <v> </v>
      </c>
      <c r="AD6" s="99" t="s">
        <v>14</v>
      </c>
      <c r="AE6" s="100" t="str">
        <f>'8 Spieler'!$Y$15</f>
        <v> </v>
      </c>
      <c r="AF6" s="100" t="str">
        <f>'8 Spieler'!$W$21</f>
        <v> </v>
      </c>
      <c r="AG6" s="100" t="str">
        <f>'8 Spieler'!$Q$14</f>
        <v> </v>
      </c>
      <c r="AH6" s="100" t="str">
        <f>'8 Spieler'!$O$22</f>
        <v> </v>
      </c>
      <c r="AI6" s="100" t="str">
        <f>'8 Spieler'!$I$13</f>
        <v> </v>
      </c>
      <c r="AJ6" s="100" t="str">
        <f>'8 Spieler'!$G$28</f>
        <v> </v>
      </c>
      <c r="AK6" s="77" t="str">
        <f t="shared" si="3"/>
        <v> </v>
      </c>
      <c r="AL6" s="64">
        <f t="shared" si="3"/>
      </c>
      <c r="AM6" s="66" t="str">
        <f t="shared" si="3"/>
        <v> </v>
      </c>
      <c r="AN6" s="101">
        <v>2</v>
      </c>
      <c r="AO6" s="3">
        <f>'Tabelle 8'!N6</f>
        <v>0.09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2:69" ht="24.75" customHeight="1">
      <c r="B7" s="11">
        <v>3</v>
      </c>
      <c r="C7" s="30" t="str">
        <f t="shared" si="0"/>
        <v>Spieler 3</v>
      </c>
      <c r="D7" s="25" t="str">
        <f t="shared" si="1"/>
        <v> </v>
      </c>
      <c r="E7" s="25" t="str">
        <f t="shared" si="1"/>
        <v> </v>
      </c>
      <c r="F7" s="28" t="str">
        <f t="shared" si="1"/>
        <v> </v>
      </c>
      <c r="G7" s="25" t="str">
        <f t="shared" si="1"/>
        <v> </v>
      </c>
      <c r="H7" s="25" t="str">
        <f t="shared" si="1"/>
        <v> </v>
      </c>
      <c r="I7" s="25" t="str">
        <f t="shared" si="1"/>
        <v> </v>
      </c>
      <c r="J7" s="25" t="str">
        <f t="shared" si="1"/>
        <v> </v>
      </c>
      <c r="K7" s="29" t="str">
        <f t="shared" si="1"/>
        <v> </v>
      </c>
      <c r="L7" s="77" t="str">
        <f t="shared" si="2"/>
        <v> </v>
      </c>
      <c r="M7" s="64">
        <f t="shared" si="2"/>
      </c>
      <c r="N7" s="66" t="str">
        <f t="shared" si="2"/>
        <v> 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f t="shared" si="4"/>
        <v>3</v>
      </c>
      <c r="AA7" s="11">
        <v>3</v>
      </c>
      <c r="AB7" s="30" t="str">
        <f>Eingabe!$C$8</f>
        <v>Spieler 3</v>
      </c>
      <c r="AC7" s="100" t="str">
        <f>'8 Spieler'!$I$29</f>
        <v> </v>
      </c>
      <c r="AD7" s="100" t="str">
        <f>'8 Spieler'!$W$15</f>
        <v> </v>
      </c>
      <c r="AE7" s="99" t="s">
        <v>14</v>
      </c>
      <c r="AF7" s="100" t="str">
        <f>'8 Spieler'!$Q$15</f>
        <v> </v>
      </c>
      <c r="AG7" s="100" t="str">
        <f>'8 Spieler'!$O$21</f>
        <v> </v>
      </c>
      <c r="AH7" s="100" t="str">
        <f>'8 Spieler'!$I$14</f>
        <v> </v>
      </c>
      <c r="AI7" s="100" t="str">
        <f>'8 Spieler'!$G$22</f>
        <v> </v>
      </c>
      <c r="AJ7" s="100" t="str">
        <f>'8 Spieler'!$W$20</f>
        <v> </v>
      </c>
      <c r="AK7" s="77" t="str">
        <f t="shared" si="3"/>
        <v> </v>
      </c>
      <c r="AL7" s="64">
        <f t="shared" si="3"/>
      </c>
      <c r="AM7" s="66" t="str">
        <f t="shared" si="3"/>
        <v> </v>
      </c>
      <c r="AN7" s="101">
        <v>3</v>
      </c>
      <c r="AO7" s="3">
        <f>'Tabelle 8'!N7</f>
        <v>0.08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2:69" ht="24.75" customHeight="1">
      <c r="B8" s="11">
        <v>4</v>
      </c>
      <c r="C8" s="30" t="str">
        <f t="shared" si="0"/>
        <v>Spieler 4</v>
      </c>
      <c r="D8" s="25" t="str">
        <f t="shared" si="1"/>
        <v> </v>
      </c>
      <c r="E8" s="25" t="str">
        <f t="shared" si="1"/>
        <v> </v>
      </c>
      <c r="F8" s="25" t="str">
        <f t="shared" si="1"/>
        <v> </v>
      </c>
      <c r="G8" s="28" t="str">
        <f t="shared" si="1"/>
        <v> </v>
      </c>
      <c r="H8" s="25" t="str">
        <f t="shared" si="1"/>
        <v> </v>
      </c>
      <c r="I8" s="25" t="str">
        <f t="shared" si="1"/>
        <v> </v>
      </c>
      <c r="J8" s="25" t="str">
        <f t="shared" si="1"/>
        <v> </v>
      </c>
      <c r="K8" s="29" t="str">
        <f t="shared" si="1"/>
        <v> </v>
      </c>
      <c r="L8" s="77" t="str">
        <f t="shared" si="2"/>
        <v> </v>
      </c>
      <c r="M8" s="64">
        <f t="shared" si="2"/>
      </c>
      <c r="N8" s="66" t="str">
        <f t="shared" si="2"/>
        <v> 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>
        <f t="shared" si="4"/>
        <v>4</v>
      </c>
      <c r="AA8" s="11">
        <v>4</v>
      </c>
      <c r="AB8" s="30" t="str">
        <f>Eingabe!$C$9</f>
        <v>Spieler 4</v>
      </c>
      <c r="AC8" s="100" t="str">
        <f>'8 Spieler'!$W$14</f>
        <v> </v>
      </c>
      <c r="AD8" s="100" t="str">
        <f>'8 Spieler'!$Y$21</f>
        <v> </v>
      </c>
      <c r="AE8" s="100" t="str">
        <f>'8 Spieler'!$O$15</f>
        <v> </v>
      </c>
      <c r="AF8" s="99" t="s">
        <v>14</v>
      </c>
      <c r="AG8" s="100" t="str">
        <f>'8 Spieler'!$I$15</f>
        <v> </v>
      </c>
      <c r="AH8" s="100" t="str">
        <f>'8 Spieler'!$G$21</f>
        <v> </v>
      </c>
      <c r="AI8" s="100" t="str">
        <f>'8 Spieler'!$I$30</f>
        <v> </v>
      </c>
      <c r="AJ8" s="100" t="str">
        <f>'8 Spieler'!$O$20</f>
        <v> </v>
      </c>
      <c r="AK8" s="77" t="str">
        <f t="shared" si="3"/>
        <v> </v>
      </c>
      <c r="AL8" s="64">
        <f t="shared" si="3"/>
      </c>
      <c r="AM8" s="66" t="str">
        <f t="shared" si="3"/>
        <v> </v>
      </c>
      <c r="AN8" s="102">
        <v>4</v>
      </c>
      <c r="AO8" s="3">
        <f>'Tabelle 8'!N8</f>
        <v>0.07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2:69" ht="24.75" customHeight="1">
      <c r="B9" s="11">
        <v>5</v>
      </c>
      <c r="C9" s="30" t="str">
        <f t="shared" si="0"/>
        <v>Spieler 5</v>
      </c>
      <c r="D9" s="25" t="str">
        <f t="shared" si="1"/>
        <v> </v>
      </c>
      <c r="E9" s="25" t="str">
        <f t="shared" si="1"/>
        <v> </v>
      </c>
      <c r="F9" s="25" t="str">
        <f t="shared" si="1"/>
        <v> </v>
      </c>
      <c r="G9" s="25" t="str">
        <f t="shared" si="1"/>
        <v> </v>
      </c>
      <c r="H9" s="28" t="str">
        <f t="shared" si="1"/>
        <v> </v>
      </c>
      <c r="I9" s="25" t="str">
        <f t="shared" si="1"/>
        <v> </v>
      </c>
      <c r="J9" s="25" t="str">
        <f t="shared" si="1"/>
        <v> </v>
      </c>
      <c r="K9" s="29" t="str">
        <f t="shared" si="1"/>
        <v> </v>
      </c>
      <c r="L9" s="77" t="str">
        <f t="shared" si="2"/>
        <v> </v>
      </c>
      <c r="M9" s="64">
        <f t="shared" si="2"/>
      </c>
      <c r="N9" s="66" t="str">
        <f t="shared" si="2"/>
        <v> 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>
        <f t="shared" si="4"/>
        <v>5</v>
      </c>
      <c r="AA9" s="11">
        <v>5</v>
      </c>
      <c r="AB9" s="30" t="str">
        <f>Eingabe!$C$10</f>
        <v>Spieler 5</v>
      </c>
      <c r="AC9" s="100" t="str">
        <f>'8 Spieler'!$Y$22</f>
        <v> </v>
      </c>
      <c r="AD9" s="100" t="str">
        <f>'8 Spieler'!$O$14</f>
        <v> </v>
      </c>
      <c r="AE9" s="100" t="str">
        <f>'8 Spieler'!$Q$21</f>
        <v> </v>
      </c>
      <c r="AF9" s="100" t="str">
        <f>'8 Spieler'!$G$15</f>
        <v> </v>
      </c>
      <c r="AG9" s="99" t="s">
        <v>14</v>
      </c>
      <c r="AH9" s="100" t="str">
        <f>'8 Spieler'!$I$31</f>
        <v> </v>
      </c>
      <c r="AI9" s="100" t="str">
        <f>'8 Spieler'!$W$13</f>
        <v> </v>
      </c>
      <c r="AJ9" s="100" t="str">
        <f>'8 Spieler'!$G$20</f>
        <v> </v>
      </c>
      <c r="AK9" s="77" t="str">
        <f t="shared" si="3"/>
        <v> </v>
      </c>
      <c r="AL9" s="64">
        <f t="shared" si="3"/>
      </c>
      <c r="AM9" s="66" t="str">
        <f t="shared" si="3"/>
        <v> </v>
      </c>
      <c r="AN9" s="102">
        <v>5</v>
      </c>
      <c r="AO9" s="3">
        <f>'Tabelle 8'!N9</f>
        <v>0.06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2:69" ht="24.75" customHeight="1">
      <c r="B10" s="11">
        <v>6</v>
      </c>
      <c r="C10" s="30" t="str">
        <f t="shared" si="0"/>
        <v>Spieler 6</v>
      </c>
      <c r="D10" s="25" t="str">
        <f t="shared" si="1"/>
        <v> </v>
      </c>
      <c r="E10" s="25" t="str">
        <f t="shared" si="1"/>
        <v> </v>
      </c>
      <c r="F10" s="25" t="str">
        <f t="shared" si="1"/>
        <v> </v>
      </c>
      <c r="G10" s="25" t="str">
        <f t="shared" si="1"/>
        <v> </v>
      </c>
      <c r="H10" s="25" t="str">
        <f t="shared" si="1"/>
        <v> </v>
      </c>
      <c r="I10" s="28" t="str">
        <f t="shared" si="1"/>
        <v> </v>
      </c>
      <c r="J10" s="25" t="str">
        <f t="shared" si="1"/>
        <v> </v>
      </c>
      <c r="K10" s="29" t="str">
        <f t="shared" si="1"/>
        <v> </v>
      </c>
      <c r="L10" s="77" t="str">
        <f t="shared" si="2"/>
        <v> </v>
      </c>
      <c r="M10" s="64">
        <f t="shared" si="2"/>
      </c>
      <c r="N10" s="66" t="str">
        <f t="shared" si="2"/>
        <v> 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f t="shared" si="4"/>
        <v>6</v>
      </c>
      <c r="AA10" s="11">
        <v>6</v>
      </c>
      <c r="AB10" s="30" t="str">
        <f>Eingabe!$C$11</f>
        <v>Spieler 6</v>
      </c>
      <c r="AC10" s="100" t="str">
        <f>'8 Spieler'!$O$13</f>
        <v> </v>
      </c>
      <c r="AD10" s="100" t="str">
        <f>'8 Spieler'!$Q$22</f>
        <v> </v>
      </c>
      <c r="AE10" s="100" t="str">
        <f>'8 Spieler'!$G$14</f>
        <v> </v>
      </c>
      <c r="AF10" s="100" t="str">
        <f>'8 Spieler'!$I$21</f>
        <v> </v>
      </c>
      <c r="AG10" s="100" t="str">
        <f>'8 Spieler'!$G$31</f>
        <v> </v>
      </c>
      <c r="AH10" s="99" t="s">
        <v>14</v>
      </c>
      <c r="AI10" s="100" t="str">
        <f>'8 Spieler'!$Y$23</f>
        <v> </v>
      </c>
      <c r="AJ10" s="100" t="str">
        <f>'8 Spieler'!$W$12</f>
        <v> </v>
      </c>
      <c r="AK10" s="77" t="str">
        <f t="shared" si="3"/>
        <v> </v>
      </c>
      <c r="AL10" s="64">
        <f t="shared" si="3"/>
      </c>
      <c r="AM10" s="66" t="str">
        <f t="shared" si="3"/>
        <v> </v>
      </c>
      <c r="AN10" s="102">
        <v>6</v>
      </c>
      <c r="AO10" s="3">
        <f>'Tabelle 8'!N10</f>
        <v>0.05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2:69" ht="24.75" customHeight="1">
      <c r="B11" s="11">
        <v>7</v>
      </c>
      <c r="C11" s="30" t="str">
        <f t="shared" si="0"/>
        <v>Spieler 7</v>
      </c>
      <c r="D11" s="25" t="str">
        <f t="shared" si="1"/>
        <v> </v>
      </c>
      <c r="E11" s="25" t="str">
        <f t="shared" si="1"/>
        <v> </v>
      </c>
      <c r="F11" s="25" t="str">
        <f t="shared" si="1"/>
        <v> </v>
      </c>
      <c r="G11" s="25" t="str">
        <f t="shared" si="1"/>
        <v> </v>
      </c>
      <c r="H11" s="25" t="str">
        <f t="shared" si="1"/>
        <v> </v>
      </c>
      <c r="I11" s="25" t="str">
        <f t="shared" si="1"/>
        <v> </v>
      </c>
      <c r="J11" s="28" t="str">
        <f t="shared" si="1"/>
        <v> </v>
      </c>
      <c r="K11" s="29" t="str">
        <f t="shared" si="1"/>
        <v> </v>
      </c>
      <c r="L11" s="77" t="str">
        <f t="shared" si="2"/>
        <v> </v>
      </c>
      <c r="M11" s="64">
        <f t="shared" si="2"/>
      </c>
      <c r="N11" s="66" t="str">
        <f t="shared" si="2"/>
        <v> 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>
        <f t="shared" si="4"/>
        <v>7</v>
      </c>
      <c r="AA11" s="11">
        <v>7</v>
      </c>
      <c r="AB11" s="30" t="str">
        <f>Eingabe!$C$12</f>
        <v>Spieler 7</v>
      </c>
      <c r="AC11" s="100" t="str">
        <f>'8 Spieler'!$Q$23</f>
        <v> </v>
      </c>
      <c r="AD11" s="100" t="str">
        <f>'8 Spieler'!$G$13</f>
        <v> </v>
      </c>
      <c r="AE11" s="100" t="str">
        <f>'8 Spieler'!$I$22</f>
        <v> </v>
      </c>
      <c r="AF11" s="100" t="str">
        <f>'8 Spieler'!$G$30</f>
        <v> </v>
      </c>
      <c r="AG11" s="100" t="str">
        <f>'8 Spieler'!$Y$13</f>
        <v> </v>
      </c>
      <c r="AH11" s="100" t="str">
        <f>'8 Spieler'!$W$23</f>
        <v> </v>
      </c>
      <c r="AI11" s="99" t="s">
        <v>14</v>
      </c>
      <c r="AJ11" s="100" t="str">
        <f>'8 Spieler'!$O$12</f>
        <v> </v>
      </c>
      <c r="AK11" s="77" t="str">
        <f t="shared" si="3"/>
        <v> </v>
      </c>
      <c r="AL11" s="64">
        <f t="shared" si="3"/>
      </c>
      <c r="AM11" s="66" t="str">
        <f t="shared" si="3"/>
        <v> </v>
      </c>
      <c r="AN11" s="102">
        <v>7</v>
      </c>
      <c r="AO11" s="3">
        <f>'Tabelle 8'!N11</f>
        <v>0.04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2:69" ht="24.75" customHeight="1" thickBot="1">
      <c r="B12" s="26">
        <v>8</v>
      </c>
      <c r="C12" s="31" t="str">
        <f t="shared" si="0"/>
        <v>Spieler 8 / spielfrei</v>
      </c>
      <c r="D12" s="27" t="str">
        <f t="shared" si="1"/>
        <v> </v>
      </c>
      <c r="E12" s="27" t="str">
        <f t="shared" si="1"/>
        <v> </v>
      </c>
      <c r="F12" s="27" t="str">
        <f t="shared" si="1"/>
        <v> </v>
      </c>
      <c r="G12" s="27" t="str">
        <f t="shared" si="1"/>
        <v> </v>
      </c>
      <c r="H12" s="27" t="str">
        <f t="shared" si="1"/>
        <v> </v>
      </c>
      <c r="I12" s="27" t="str">
        <f t="shared" si="1"/>
        <v> </v>
      </c>
      <c r="J12" s="27" t="str">
        <f t="shared" si="1"/>
        <v> </v>
      </c>
      <c r="K12" s="33" t="str">
        <f t="shared" si="1"/>
        <v> </v>
      </c>
      <c r="L12" s="78" t="str">
        <f t="shared" si="2"/>
        <v> </v>
      </c>
      <c r="M12" s="65">
        <f t="shared" si="2"/>
      </c>
      <c r="N12" s="67" t="str">
        <f t="shared" si="2"/>
        <v> 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f t="shared" si="4"/>
        <v>8</v>
      </c>
      <c r="AA12" s="110">
        <v>8</v>
      </c>
      <c r="AB12" s="111" t="str">
        <f>Eingabe!$C$13</f>
        <v>Spieler 8 / spielfrei</v>
      </c>
      <c r="AC12" s="103" t="str">
        <f>'8 Spieler'!$I$12</f>
        <v> </v>
      </c>
      <c r="AD12" s="103" t="str">
        <f>'8 Spieler'!$I$28</f>
        <v> </v>
      </c>
      <c r="AE12" s="103" t="str">
        <f>'8 Spieler'!$Y$20</f>
        <v> </v>
      </c>
      <c r="AF12" s="103" t="str">
        <f>'8 Spieler'!$Q$20</f>
        <v> </v>
      </c>
      <c r="AG12" s="103" t="str">
        <f>'8 Spieler'!$I$20</f>
        <v> </v>
      </c>
      <c r="AH12" s="103" t="str">
        <f>'8 Spieler'!$Y$12</f>
        <v> </v>
      </c>
      <c r="AI12" s="103" t="str">
        <f>'8 Spieler'!$Q$12</f>
        <v> </v>
      </c>
      <c r="AJ12" s="104" t="s">
        <v>14</v>
      </c>
      <c r="AK12" s="112" t="str">
        <f t="shared" si="3"/>
        <v> </v>
      </c>
      <c r="AL12" s="65">
        <f t="shared" si="3"/>
      </c>
      <c r="AM12" s="113" t="str">
        <f t="shared" si="3"/>
        <v> </v>
      </c>
      <c r="AN12" s="102">
        <v>8</v>
      </c>
      <c r="AO12" s="3">
        <f>'Tabelle 8'!N12</f>
        <v>0.03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2:69" ht="12.75"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05"/>
      <c r="AB13" s="108"/>
      <c r="AC13" s="34"/>
      <c r="AD13" s="34"/>
      <c r="AE13" s="34"/>
      <c r="AF13" s="34"/>
      <c r="AG13" s="34"/>
      <c r="AH13" s="34"/>
      <c r="AI13" s="34"/>
      <c r="AJ13" s="34"/>
      <c r="AK13" s="109"/>
      <c r="AL13" s="72"/>
      <c r="AM13" s="105"/>
      <c r="AN13" s="102"/>
      <c r="AO13" s="3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2:69" ht="12.7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05"/>
      <c r="AB14" s="108"/>
      <c r="AC14" s="34"/>
      <c r="AD14" s="34"/>
      <c r="AE14" s="34"/>
      <c r="AF14" s="34"/>
      <c r="AG14" s="34"/>
      <c r="AH14" s="34"/>
      <c r="AI14" s="34"/>
      <c r="AJ14" s="34"/>
      <c r="AK14" s="109"/>
      <c r="AL14" s="72"/>
      <c r="AM14" s="105"/>
      <c r="AN14" s="102"/>
      <c r="AO14" s="3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5:69" ht="12.75"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K15" s="2"/>
      <c r="AL15" s="2"/>
      <c r="AM15" s="2"/>
      <c r="AN15" s="101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2:14" ht="24.75" customHeight="1">
      <c r="B16" s="83" t="str">
        <f>Eingabe!$G$3</f>
        <v>z.B. Monatsblitzturnier</v>
      </c>
      <c r="C16" s="13"/>
      <c r="D16" s="17"/>
      <c r="E16" s="17"/>
      <c r="F16" s="13"/>
      <c r="G16" s="35"/>
      <c r="H16" s="17"/>
      <c r="I16" s="17"/>
      <c r="J16" s="17"/>
      <c r="K16" s="17"/>
      <c r="M16" s="36" t="s">
        <v>10</v>
      </c>
      <c r="N16" s="37" t="str">
        <f>Eingabe!G2</f>
        <v>??.??.????</v>
      </c>
    </row>
    <row r="17" spans="2:41" s="19" customFormat="1" ht="18.75" thickBot="1">
      <c r="B17" s="2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Z17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/>
      <c r="AL17"/>
      <c r="AM17"/>
      <c r="AN17" s="96"/>
      <c r="AO17"/>
    </row>
    <row r="18" spans="1:69" s="8" customFormat="1" ht="24.75" customHeight="1" thickBot="1">
      <c r="A18" s="6"/>
      <c r="B18" s="21" t="s">
        <v>19</v>
      </c>
      <c r="C18" s="22" t="s">
        <v>20</v>
      </c>
      <c r="D18" s="24">
        <v>1</v>
      </c>
      <c r="E18" s="24">
        <v>2</v>
      </c>
      <c r="F18" s="24">
        <v>3</v>
      </c>
      <c r="G18" s="24">
        <v>4</v>
      </c>
      <c r="H18" s="24">
        <v>5</v>
      </c>
      <c r="I18" s="24">
        <v>6</v>
      </c>
      <c r="J18" s="24">
        <v>7</v>
      </c>
      <c r="K18" s="32">
        <v>8</v>
      </c>
      <c r="L18" s="21" t="s">
        <v>21</v>
      </c>
      <c r="M18" s="59" t="s">
        <v>22</v>
      </c>
      <c r="N18" s="23" t="s">
        <v>23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2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2"/>
      <c r="AL18" s="2"/>
      <c r="AM18" s="2"/>
      <c r="AN18" s="101"/>
      <c r="AO18" s="2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2:69" ht="24.75" customHeight="1">
      <c r="B19" s="11">
        <v>1</v>
      </c>
      <c r="C19" s="30" t="str">
        <f>Eingabe!$C$6</f>
        <v>Spieler 1</v>
      </c>
      <c r="D19" s="28"/>
      <c r="E19" s="25" t="str">
        <f>'8 Spieler'!$I$23</f>
        <v> </v>
      </c>
      <c r="F19" s="25" t="str">
        <f>'8 Spieler'!$G$29</f>
        <v> </v>
      </c>
      <c r="G19" s="25" t="str">
        <f>'8 Spieler'!$Y$14</f>
        <v> </v>
      </c>
      <c r="H19" s="25" t="str">
        <f>'8 Spieler'!$W$22</f>
        <v> </v>
      </c>
      <c r="I19" s="25" t="str">
        <f>'8 Spieler'!$Q$13</f>
        <v> </v>
      </c>
      <c r="J19" s="25" t="str">
        <f>'8 Spieler'!$O$23</f>
        <v> </v>
      </c>
      <c r="K19" s="25" t="str">
        <f>'8 Spieler'!$G$12</f>
        <v> </v>
      </c>
      <c r="L19" s="77" t="str">
        <f aca="true" t="shared" si="5" ref="L19:L25">IF(COUNT($K$19,$J$20,$I$21,$H$22,$G$23,$F$24,$E$25,$D$26)&gt;0,SUM(D19:K19)," ")</f>
        <v> </v>
      </c>
      <c r="M19" s="64">
        <f aca="true" t="shared" si="6" ref="M19:M26">IF(COUNT($K$19,$J$20,$I$21,$H$22,$G$23,$F$24,$E$25,$D$26)&gt;0,IF(OR(D19=1,D19=0.5),D19*$L$19,0)+IF(OR(E19=1,E19=0.5),E19*$L$20,0)+IF(OR(F19=1,F19=0.5),F19*$L$21,0)+IF(OR(G19=1,G19=0.5),G19*$L$22,0)+IF(OR(H19=1,H19=0.5),H19*$L$23,0)+IF(OR(I19=1,I19=0.5),I19*$L$24,0)+IF(OR(J19=1,J19=0.5),J19*$L$25,0)+IF(OR(K19=1,K19=0.5),K19*$L$26,0),"")</f>
      </c>
      <c r="N19" s="66" t="str">
        <f>IF('Tabelle 8'!$C$5=C19,'Tabelle 8'!$R$5,"")&amp;IF('Tabelle 8'!$C$6=C19,'Tabelle 8'!$R$6,"")&amp;IF('Tabelle 8'!$C$7=C19,'Tabelle 8'!$R$7,"")&amp;IF('Tabelle 8'!$C$8=C19,'Tabelle 8'!$R$8,"")&amp;IF('Tabelle 8'!$C$9=C19,'Tabelle 8'!$R$9,"")&amp;IF('Tabelle 8'!$C$10=C19,'Tabelle 8'!$R$10,"")&amp;IF('Tabelle 8'!$C$11=C19,'Tabelle 8'!$R$11,"")&amp;IF('Tabelle 8'!$C$12=C19,'Tabelle 8'!$R$12,"")</f>
        <v> 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06">
        <f>VLOOKUP($AN5,$Z$5:$AM$12,2,FALSE)</f>
        <v>1</v>
      </c>
      <c r="AB19" s="107" t="str">
        <f>VLOOKUP($AN5,$Z$5:$AM$12,3,FALSE)</f>
        <v>Spieler 1</v>
      </c>
      <c r="AC19" s="117" t="str">
        <f>VLOOKUP($AN5,$Z$5:$AM$12,4,FALSE)</f>
        <v> </v>
      </c>
      <c r="AD19" s="117" t="str">
        <f>VLOOKUP($AN5,$Z$5:$AM$12,5,FALSE)</f>
        <v> </v>
      </c>
      <c r="AE19" s="117" t="str">
        <f>VLOOKUP($AN5,$Z$5:$AM$12,6,FALSE)</f>
        <v> </v>
      </c>
      <c r="AF19" s="117" t="str">
        <f>VLOOKUP($AN5,$Z$5:$AM$12,7,FALSE)</f>
        <v> </v>
      </c>
      <c r="AG19" s="117" t="str">
        <f>VLOOKUP($AN5,$Z$5:$AM$12,8,FALSE)</f>
        <v> </v>
      </c>
      <c r="AH19" s="117" t="str">
        <f>VLOOKUP($AN5,$Z$5:$AM$12,9,FALSE)</f>
        <v> </v>
      </c>
      <c r="AI19" s="117" t="str">
        <f>VLOOKUP($AN5,$Z$5:$AM$12,10,FALSE)</f>
        <v> </v>
      </c>
      <c r="AJ19" s="117" t="str">
        <f>VLOOKUP($AN5,$Z$5:$AM$12,11,FALSE)</f>
        <v> </v>
      </c>
      <c r="AK19" s="115" t="str">
        <f>VLOOKUP($AN5,$Z$5:$AM$12,12,FALSE)</f>
        <v> </v>
      </c>
      <c r="AL19" s="116">
        <f>VLOOKUP($AN5,$Z$5:$AM$12,13,FALSE)</f>
      </c>
      <c r="AM19" s="32" t="str">
        <f>VLOOKUP($AN5,$Z$5:$AM$12,14,FALSE)</f>
        <v> </v>
      </c>
      <c r="AN19" s="101">
        <v>5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2:69" ht="24.75" customHeight="1">
      <c r="B20" s="11">
        <v>2</v>
      </c>
      <c r="C20" s="30" t="str">
        <f>Eingabe!$C$7</f>
        <v>Spieler 2</v>
      </c>
      <c r="D20" s="25" t="str">
        <f>'8 Spieler'!$G$23</f>
        <v> </v>
      </c>
      <c r="E20" s="28"/>
      <c r="F20" s="25" t="str">
        <f>'8 Spieler'!$Y$15</f>
        <v> </v>
      </c>
      <c r="G20" s="25" t="str">
        <f>'8 Spieler'!$W$21</f>
        <v> </v>
      </c>
      <c r="H20" s="25" t="str">
        <f>'8 Spieler'!$Q$14</f>
        <v> </v>
      </c>
      <c r="I20" s="25" t="str">
        <f>'8 Spieler'!$O$22</f>
        <v> </v>
      </c>
      <c r="J20" s="25" t="str">
        <f>'8 Spieler'!$I$13</f>
        <v> </v>
      </c>
      <c r="K20" s="29" t="str">
        <f>'8 Spieler'!$G$28</f>
        <v> </v>
      </c>
      <c r="L20" s="77" t="str">
        <f t="shared" si="5"/>
        <v> </v>
      </c>
      <c r="M20" s="64">
        <f t="shared" si="6"/>
      </c>
      <c r="N20" s="66" t="str">
        <f>IF('Tabelle 8'!$C$5=C20,'Tabelle 8'!$R$5,"")&amp;IF('Tabelle 8'!$C$6=C20,'Tabelle 8'!$R$6,"")&amp;IF('Tabelle 8'!$C$7=C20,'Tabelle 8'!$R$7,"")&amp;IF('Tabelle 8'!$C$8=C20,'Tabelle 8'!$R$8,"")&amp;IF('Tabelle 8'!$C$9=C20,'Tabelle 8'!$R$9,"")&amp;IF('Tabelle 8'!$C$10=C20,'Tabelle 8'!$R$10,"")&amp;IF('Tabelle 8'!$C$11=C20,'Tabelle 8'!$R$11,"")&amp;IF('Tabelle 8'!$C$12=C20,'Tabelle 8'!$R$12,"")</f>
        <v> 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9"/>
      <c r="AA20" s="11">
        <f aca="true" t="shared" si="7" ref="AA20:AA26">VLOOKUP($AN6,$Z$5:$AM$12,2,FALSE)</f>
        <v>2</v>
      </c>
      <c r="AB20" s="30" t="str">
        <f aca="true" t="shared" si="8" ref="AB20:AB26">VLOOKUP($AN6,$Z$5:$AM$12,3,FALSE)</f>
        <v>Spieler 2</v>
      </c>
      <c r="AC20" s="118" t="str">
        <f aca="true" t="shared" si="9" ref="AC20:AC26">VLOOKUP($AN6,$Z$5:$AM$12,4,FALSE)</f>
        <v> </v>
      </c>
      <c r="AD20" s="118" t="str">
        <f aca="true" t="shared" si="10" ref="AD20:AD26">VLOOKUP($AN6,$Z$5:$AM$12,5,FALSE)</f>
        <v> </v>
      </c>
      <c r="AE20" s="118" t="str">
        <f aca="true" t="shared" si="11" ref="AE20:AE26">VLOOKUP($AN6,$Z$5:$AM$12,6,FALSE)</f>
        <v> </v>
      </c>
      <c r="AF20" s="118" t="str">
        <f aca="true" t="shared" si="12" ref="AF20:AF26">VLOOKUP($AN6,$Z$5:$AM$12,7,FALSE)</f>
        <v> </v>
      </c>
      <c r="AG20" s="118" t="str">
        <f aca="true" t="shared" si="13" ref="AG20:AG26">VLOOKUP($AN6,$Z$5:$AM$12,8,FALSE)</f>
        <v> </v>
      </c>
      <c r="AH20" s="118" t="str">
        <f aca="true" t="shared" si="14" ref="AH20:AH26">VLOOKUP($AN6,$Z$5:$AM$12,9,FALSE)</f>
        <v> </v>
      </c>
      <c r="AI20" s="118" t="str">
        <f aca="true" t="shared" si="15" ref="AI20:AI26">VLOOKUP($AN6,$Z$5:$AM$12,10,FALSE)</f>
        <v> </v>
      </c>
      <c r="AJ20" s="118" t="str">
        <f aca="true" t="shared" si="16" ref="AJ20:AJ26">VLOOKUP($AN6,$Z$5:$AM$12,11,FALSE)</f>
        <v> </v>
      </c>
      <c r="AK20" s="77" t="str">
        <f aca="true" t="shared" si="17" ref="AK20:AK26">VLOOKUP($AN6,$Z$5:$AM$12,12,FALSE)</f>
        <v> </v>
      </c>
      <c r="AL20" s="64">
        <f aca="true" t="shared" si="18" ref="AL20:AL26">VLOOKUP($AN6,$Z$5:$AM$12,13,FALSE)</f>
      </c>
      <c r="AM20" s="66" t="str">
        <f aca="true" t="shared" si="19" ref="AM20:AM26">VLOOKUP($AN6,$Z$5:$AM$12,14,FALSE)</f>
        <v> </v>
      </c>
      <c r="AN20" s="101">
        <v>6</v>
      </c>
      <c r="AO20" s="8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2:69" ht="24.75" customHeight="1">
      <c r="B21" s="11">
        <v>3</v>
      </c>
      <c r="C21" s="30" t="str">
        <f>Eingabe!$C$8</f>
        <v>Spieler 3</v>
      </c>
      <c r="D21" s="25" t="str">
        <f>'8 Spieler'!$I$29</f>
        <v> </v>
      </c>
      <c r="E21" s="25" t="str">
        <f>'8 Spieler'!$W$15</f>
        <v> </v>
      </c>
      <c r="F21" s="28"/>
      <c r="G21" s="25" t="str">
        <f>'8 Spieler'!$Q$15</f>
        <v> </v>
      </c>
      <c r="H21" s="25" t="str">
        <f>'8 Spieler'!$O$21</f>
        <v> </v>
      </c>
      <c r="I21" s="25" t="str">
        <f>'8 Spieler'!$I$14</f>
        <v> </v>
      </c>
      <c r="J21" s="25" t="str">
        <f>'8 Spieler'!$G$22</f>
        <v> </v>
      </c>
      <c r="K21" s="29" t="str">
        <f>'8 Spieler'!$W$20</f>
        <v> </v>
      </c>
      <c r="L21" s="77" t="str">
        <f t="shared" si="5"/>
        <v> </v>
      </c>
      <c r="M21" s="64">
        <f t="shared" si="6"/>
      </c>
      <c r="N21" s="66" t="str">
        <f>IF('Tabelle 8'!$C$5=C21,'Tabelle 8'!$R$5,"")&amp;IF('Tabelle 8'!$C$6=C21,'Tabelle 8'!$R$6,"")&amp;IF('Tabelle 8'!$C$7=C21,'Tabelle 8'!$R$7,"")&amp;IF('Tabelle 8'!$C$8=C21,'Tabelle 8'!$R$8,"")&amp;IF('Tabelle 8'!$C$9=C21,'Tabelle 8'!$R$9,"")&amp;IF('Tabelle 8'!$C$10=C21,'Tabelle 8'!$R$10,"")&amp;IF('Tabelle 8'!$C$11=C21,'Tabelle 8'!$R$11,"")&amp;IF('Tabelle 8'!$C$12=C21,'Tabelle 8'!$R$12,"")</f>
        <v> 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1">
        <f t="shared" si="7"/>
        <v>3</v>
      </c>
      <c r="AB21" s="30" t="str">
        <f t="shared" si="8"/>
        <v>Spieler 3</v>
      </c>
      <c r="AC21" s="118" t="str">
        <f t="shared" si="9"/>
        <v> </v>
      </c>
      <c r="AD21" s="118" t="str">
        <f t="shared" si="10"/>
        <v> </v>
      </c>
      <c r="AE21" s="118" t="str">
        <f t="shared" si="11"/>
        <v> </v>
      </c>
      <c r="AF21" s="118" t="str">
        <f t="shared" si="12"/>
        <v> </v>
      </c>
      <c r="AG21" s="118" t="str">
        <f t="shared" si="13"/>
        <v> </v>
      </c>
      <c r="AH21" s="118" t="str">
        <f t="shared" si="14"/>
        <v> </v>
      </c>
      <c r="AI21" s="118" t="str">
        <f t="shared" si="15"/>
        <v> </v>
      </c>
      <c r="AJ21" s="118" t="str">
        <f t="shared" si="16"/>
        <v> </v>
      </c>
      <c r="AK21" s="77" t="str">
        <f t="shared" si="17"/>
        <v> </v>
      </c>
      <c r="AL21" s="64">
        <f t="shared" si="18"/>
      </c>
      <c r="AM21" s="66" t="str">
        <f t="shared" si="19"/>
        <v> </v>
      </c>
      <c r="AN21" s="101">
        <v>7</v>
      </c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2:69" ht="24.75" customHeight="1">
      <c r="B22" s="11">
        <v>4</v>
      </c>
      <c r="C22" s="30" t="str">
        <f>Eingabe!$C$9</f>
        <v>Spieler 4</v>
      </c>
      <c r="D22" s="25" t="str">
        <f>'8 Spieler'!$W$14</f>
        <v> </v>
      </c>
      <c r="E22" s="25" t="str">
        <f>'8 Spieler'!$Y$21</f>
        <v> </v>
      </c>
      <c r="F22" s="25" t="str">
        <f>'8 Spieler'!$O$15</f>
        <v> </v>
      </c>
      <c r="G22" s="28"/>
      <c r="H22" s="25" t="str">
        <f>'8 Spieler'!$I$15</f>
        <v> </v>
      </c>
      <c r="I22" s="25" t="str">
        <f>'8 Spieler'!$G$21</f>
        <v> </v>
      </c>
      <c r="J22" s="25" t="str">
        <f>'8 Spieler'!$I$30</f>
        <v> </v>
      </c>
      <c r="K22" s="29" t="str">
        <f>'8 Spieler'!$O$20</f>
        <v> </v>
      </c>
      <c r="L22" s="77" t="str">
        <f t="shared" si="5"/>
        <v> </v>
      </c>
      <c r="M22" s="64">
        <f t="shared" si="6"/>
      </c>
      <c r="N22" s="66" t="str">
        <f>IF('Tabelle 8'!$C$5=C22,'Tabelle 8'!$R$5,"")&amp;IF('Tabelle 8'!$C$6=C22,'Tabelle 8'!$R$6,"")&amp;IF('Tabelle 8'!$C$7=C22,'Tabelle 8'!$R$7,"")&amp;IF('Tabelle 8'!$C$8=C22,'Tabelle 8'!$R$8,"")&amp;IF('Tabelle 8'!$C$9=C22,'Tabelle 8'!$R$9,"")&amp;IF('Tabelle 8'!$C$10=C22,'Tabelle 8'!$R$10,"")&amp;IF('Tabelle 8'!$C$11=C22,'Tabelle 8'!$R$11,"")&amp;IF('Tabelle 8'!$C$12=C22,'Tabelle 8'!$R$12,"")</f>
        <v> 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1">
        <f t="shared" si="7"/>
        <v>4</v>
      </c>
      <c r="AB22" s="30" t="str">
        <f t="shared" si="8"/>
        <v>Spieler 4</v>
      </c>
      <c r="AC22" s="118" t="str">
        <f t="shared" si="9"/>
        <v> </v>
      </c>
      <c r="AD22" s="118" t="str">
        <f t="shared" si="10"/>
        <v> </v>
      </c>
      <c r="AE22" s="118" t="str">
        <f t="shared" si="11"/>
        <v> </v>
      </c>
      <c r="AF22" s="118" t="str">
        <f t="shared" si="12"/>
        <v> </v>
      </c>
      <c r="AG22" s="118" t="str">
        <f t="shared" si="13"/>
        <v> </v>
      </c>
      <c r="AH22" s="118" t="str">
        <f t="shared" si="14"/>
        <v> </v>
      </c>
      <c r="AI22" s="118" t="str">
        <f t="shared" si="15"/>
        <v> </v>
      </c>
      <c r="AJ22" s="118" t="str">
        <f t="shared" si="16"/>
        <v> </v>
      </c>
      <c r="AK22" s="77" t="str">
        <f t="shared" si="17"/>
        <v> </v>
      </c>
      <c r="AL22" s="64">
        <f t="shared" si="18"/>
      </c>
      <c r="AM22" s="66" t="str">
        <f t="shared" si="19"/>
        <v> </v>
      </c>
      <c r="AN22" s="102">
        <v>8</v>
      </c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2:69" ht="24.75" customHeight="1">
      <c r="B23" s="11">
        <v>5</v>
      </c>
      <c r="C23" s="30" t="str">
        <f>Eingabe!$C$10</f>
        <v>Spieler 5</v>
      </c>
      <c r="D23" s="25" t="str">
        <f>'8 Spieler'!$Y$22</f>
        <v> </v>
      </c>
      <c r="E23" s="25" t="str">
        <f>'8 Spieler'!$O$14</f>
        <v> </v>
      </c>
      <c r="F23" s="25" t="str">
        <f>'8 Spieler'!$Q$21</f>
        <v> </v>
      </c>
      <c r="G23" s="25" t="str">
        <f>'8 Spieler'!$G$15</f>
        <v> </v>
      </c>
      <c r="H23" s="28"/>
      <c r="I23" s="25" t="str">
        <f>'8 Spieler'!$I$31</f>
        <v> </v>
      </c>
      <c r="J23" s="25" t="str">
        <f>'8 Spieler'!$W$13</f>
        <v> </v>
      </c>
      <c r="K23" s="29" t="str">
        <f>'8 Spieler'!$G$20</f>
        <v> </v>
      </c>
      <c r="L23" s="77" t="str">
        <f t="shared" si="5"/>
        <v> </v>
      </c>
      <c r="M23" s="64">
        <f t="shared" si="6"/>
      </c>
      <c r="N23" s="66" t="str">
        <f>IF('Tabelle 8'!$C$5=C23,'Tabelle 8'!$R$5,"")&amp;IF('Tabelle 8'!$C$6=C23,'Tabelle 8'!$R$6,"")&amp;IF('Tabelle 8'!$C$7=C23,'Tabelle 8'!$R$7,"")&amp;IF('Tabelle 8'!$C$8=C23,'Tabelle 8'!$R$8,"")&amp;IF('Tabelle 8'!$C$9=C23,'Tabelle 8'!$R$9,"")&amp;IF('Tabelle 8'!$C$10=C23,'Tabelle 8'!$R$10,"")&amp;IF('Tabelle 8'!$C$11=C23,'Tabelle 8'!$R$11,"")&amp;IF('Tabelle 8'!$C$12=C23,'Tabelle 8'!$R$12,"")</f>
        <v> 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1">
        <f t="shared" si="7"/>
        <v>5</v>
      </c>
      <c r="AB23" s="30" t="str">
        <f t="shared" si="8"/>
        <v>Spieler 5</v>
      </c>
      <c r="AC23" s="118" t="str">
        <f t="shared" si="9"/>
        <v> </v>
      </c>
      <c r="AD23" s="118" t="str">
        <f t="shared" si="10"/>
        <v> </v>
      </c>
      <c r="AE23" s="118" t="str">
        <f t="shared" si="11"/>
        <v> </v>
      </c>
      <c r="AF23" s="118" t="str">
        <f t="shared" si="12"/>
        <v> </v>
      </c>
      <c r="AG23" s="118" t="str">
        <f t="shared" si="13"/>
        <v> </v>
      </c>
      <c r="AH23" s="118" t="str">
        <f t="shared" si="14"/>
        <v> </v>
      </c>
      <c r="AI23" s="118" t="str">
        <f t="shared" si="15"/>
        <v> </v>
      </c>
      <c r="AJ23" s="118" t="str">
        <f t="shared" si="16"/>
        <v> </v>
      </c>
      <c r="AK23" s="77" t="str">
        <f t="shared" si="17"/>
        <v> </v>
      </c>
      <c r="AL23" s="64">
        <f t="shared" si="18"/>
      </c>
      <c r="AM23" s="66" t="str">
        <f t="shared" si="19"/>
        <v> </v>
      </c>
      <c r="AN23" s="102">
        <v>9</v>
      </c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2:69" ht="24.75" customHeight="1">
      <c r="B24" s="11">
        <v>6</v>
      </c>
      <c r="C24" s="30" t="str">
        <f>Eingabe!$C$11</f>
        <v>Spieler 6</v>
      </c>
      <c r="D24" s="25" t="str">
        <f>'8 Spieler'!$O$13</f>
        <v> </v>
      </c>
      <c r="E24" s="25" t="str">
        <f>'8 Spieler'!$Q$22</f>
        <v> </v>
      </c>
      <c r="F24" s="25" t="str">
        <f>'8 Spieler'!$G$14</f>
        <v> </v>
      </c>
      <c r="G24" s="25" t="str">
        <f>'8 Spieler'!$I$21</f>
        <v> </v>
      </c>
      <c r="H24" s="25" t="str">
        <f>'8 Spieler'!$G$31</f>
        <v> </v>
      </c>
      <c r="I24" s="28"/>
      <c r="J24" s="25" t="str">
        <f>'8 Spieler'!$Y$23</f>
        <v> </v>
      </c>
      <c r="K24" s="29" t="str">
        <f>'8 Spieler'!$W$12</f>
        <v> </v>
      </c>
      <c r="L24" s="77" t="str">
        <f t="shared" si="5"/>
        <v> </v>
      </c>
      <c r="M24" s="64">
        <f t="shared" si="6"/>
      </c>
      <c r="N24" s="66" t="str">
        <f>IF('Tabelle 8'!$C$5=C24,'Tabelle 8'!$R$5,"")&amp;IF('Tabelle 8'!$C$6=C24,'Tabelle 8'!$R$6,"")&amp;IF('Tabelle 8'!$C$7=C24,'Tabelle 8'!$R$7,"")&amp;IF('Tabelle 8'!$C$8=C24,'Tabelle 8'!$R$8,"")&amp;IF('Tabelle 8'!$C$9=C24,'Tabelle 8'!$R$9,"")&amp;IF('Tabelle 8'!$C$10=C24,'Tabelle 8'!$R$10,"")&amp;IF('Tabelle 8'!$C$11=C24,'Tabelle 8'!$R$11,"")&amp;IF('Tabelle 8'!$C$12=C24,'Tabelle 8'!$R$12,"")</f>
        <v> 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1">
        <f t="shared" si="7"/>
        <v>6</v>
      </c>
      <c r="AB24" s="30" t="str">
        <f t="shared" si="8"/>
        <v>Spieler 6</v>
      </c>
      <c r="AC24" s="118" t="str">
        <f t="shared" si="9"/>
        <v> </v>
      </c>
      <c r="AD24" s="118" t="str">
        <f t="shared" si="10"/>
        <v> </v>
      </c>
      <c r="AE24" s="118" t="str">
        <f t="shared" si="11"/>
        <v> </v>
      </c>
      <c r="AF24" s="118" t="str">
        <f t="shared" si="12"/>
        <v> </v>
      </c>
      <c r="AG24" s="118" t="str">
        <f t="shared" si="13"/>
        <v> </v>
      </c>
      <c r="AH24" s="118" t="str">
        <f t="shared" si="14"/>
        <v> </v>
      </c>
      <c r="AI24" s="118" t="str">
        <f t="shared" si="15"/>
        <v> </v>
      </c>
      <c r="AJ24" s="118" t="str">
        <f t="shared" si="16"/>
        <v> </v>
      </c>
      <c r="AK24" s="77" t="str">
        <f t="shared" si="17"/>
        <v> </v>
      </c>
      <c r="AL24" s="64">
        <f t="shared" si="18"/>
      </c>
      <c r="AM24" s="66" t="str">
        <f t="shared" si="19"/>
        <v> </v>
      </c>
      <c r="AN24" s="102">
        <v>10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2:69" ht="24.75" customHeight="1">
      <c r="B25" s="11">
        <v>7</v>
      </c>
      <c r="C25" s="30" t="str">
        <f>Eingabe!$C$12</f>
        <v>Spieler 7</v>
      </c>
      <c r="D25" s="25" t="str">
        <f>'8 Spieler'!$Q$23</f>
        <v> </v>
      </c>
      <c r="E25" s="25" t="str">
        <f>'8 Spieler'!$G$13</f>
        <v> </v>
      </c>
      <c r="F25" s="25" t="str">
        <f>'8 Spieler'!$I$22</f>
        <v> </v>
      </c>
      <c r="G25" s="25" t="str">
        <f>'8 Spieler'!$G$30</f>
        <v> </v>
      </c>
      <c r="H25" s="25" t="str">
        <f>'8 Spieler'!$Y$13</f>
        <v> </v>
      </c>
      <c r="I25" s="25" t="str">
        <f>'8 Spieler'!$W$23</f>
        <v> </v>
      </c>
      <c r="J25" s="28"/>
      <c r="K25" s="29" t="str">
        <f>'8 Spieler'!$O$12</f>
        <v> </v>
      </c>
      <c r="L25" s="77" t="str">
        <f t="shared" si="5"/>
        <v> </v>
      </c>
      <c r="M25" s="64">
        <f t="shared" si="6"/>
      </c>
      <c r="N25" s="66" t="str">
        <f>IF('Tabelle 8'!$C$5=C25,'Tabelle 8'!$R$5,"")&amp;IF('Tabelle 8'!$C$6=C25,'Tabelle 8'!$R$6,"")&amp;IF('Tabelle 8'!$C$7=C25,'Tabelle 8'!$R$7,"")&amp;IF('Tabelle 8'!$C$8=C25,'Tabelle 8'!$R$8,"")&amp;IF('Tabelle 8'!$C$9=C25,'Tabelle 8'!$R$9,"")&amp;IF('Tabelle 8'!$C$10=C25,'Tabelle 8'!$R$10,"")&amp;IF('Tabelle 8'!$C$11=C25,'Tabelle 8'!$R$11,"")&amp;IF('Tabelle 8'!$C$12=C25,'Tabelle 8'!$R$12,"")</f>
        <v> 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1">
        <f t="shared" si="7"/>
        <v>7</v>
      </c>
      <c r="AB25" s="30" t="str">
        <f t="shared" si="8"/>
        <v>Spieler 7</v>
      </c>
      <c r="AC25" s="118" t="str">
        <f t="shared" si="9"/>
        <v> </v>
      </c>
      <c r="AD25" s="118" t="str">
        <f t="shared" si="10"/>
        <v> </v>
      </c>
      <c r="AE25" s="118" t="str">
        <f t="shared" si="11"/>
        <v> </v>
      </c>
      <c r="AF25" s="118" t="str">
        <f t="shared" si="12"/>
        <v> </v>
      </c>
      <c r="AG25" s="118" t="str">
        <f t="shared" si="13"/>
        <v> </v>
      </c>
      <c r="AH25" s="118" t="str">
        <f t="shared" si="14"/>
        <v> </v>
      </c>
      <c r="AI25" s="118" t="str">
        <f t="shared" si="15"/>
        <v> </v>
      </c>
      <c r="AJ25" s="118" t="str">
        <f t="shared" si="16"/>
        <v> </v>
      </c>
      <c r="AK25" s="77" t="str">
        <f t="shared" si="17"/>
        <v> </v>
      </c>
      <c r="AL25" s="64">
        <f t="shared" si="18"/>
      </c>
      <c r="AM25" s="66" t="str">
        <f t="shared" si="19"/>
        <v> </v>
      </c>
      <c r="AN25" s="102">
        <v>11</v>
      </c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2:69" ht="24.75" customHeight="1" thickBot="1">
      <c r="B26" s="26">
        <v>8</v>
      </c>
      <c r="C26" s="31" t="str">
        <f>Eingabe!$C$13</f>
        <v>Spieler 8 / spielfrei</v>
      </c>
      <c r="D26" s="27" t="str">
        <f>'8 Spieler'!$I$12</f>
        <v> </v>
      </c>
      <c r="E26" s="27" t="str">
        <f>'8 Spieler'!$I$28</f>
        <v> </v>
      </c>
      <c r="F26" s="27" t="str">
        <f>'8 Spieler'!$Y$20</f>
        <v> </v>
      </c>
      <c r="G26" s="27" t="str">
        <f>'8 Spieler'!$Q$20</f>
        <v> </v>
      </c>
      <c r="H26" s="27" t="str">
        <f>'8 Spieler'!$I$20</f>
        <v> </v>
      </c>
      <c r="I26" s="27" t="str">
        <f>'8 Spieler'!$Y$12</f>
        <v> </v>
      </c>
      <c r="J26" s="27" t="str">
        <f>'8 Spieler'!$Q$12</f>
        <v> </v>
      </c>
      <c r="K26" s="33"/>
      <c r="L26" s="78" t="str">
        <f>IF($C$26="spielfrei",-0.001,IF(COUNT($K$19,$J$20,$I$21,$H$22,$G$23,$F$24,$E$25,$D$26)&gt;0,SUM(D26:K26)," "))</f>
        <v> </v>
      </c>
      <c r="M26" s="65">
        <f t="shared" si="6"/>
      </c>
      <c r="N26" s="67" t="str">
        <f>IF('Tabelle 8'!$C$5=C26,'Tabelle 8'!$R$5,"")&amp;IF('Tabelle 8'!$C$6=C26,'Tabelle 8'!$R$6,"")&amp;IF('Tabelle 8'!$C$7=C26,'Tabelle 8'!$R$7,"")&amp;IF('Tabelle 8'!$C$8=C26,'Tabelle 8'!$R$8,"")&amp;IF('Tabelle 8'!$C$9=C26,'Tabelle 8'!$R$9,"")&amp;IF('Tabelle 8'!$C$10=C26,'Tabelle 8'!$R$10,"")&amp;IF('Tabelle 8'!$C$11=C26,'Tabelle 8'!$R$11,"")&amp;IF('Tabelle 8'!$C$12=C26,'Tabelle 8'!$R$12,"")</f>
        <v> 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10">
        <f t="shared" si="7"/>
        <v>8</v>
      </c>
      <c r="AB26" s="111" t="str">
        <f t="shared" si="8"/>
        <v>Spieler 8 / spielfrei</v>
      </c>
      <c r="AC26" s="119" t="str">
        <f t="shared" si="9"/>
        <v> </v>
      </c>
      <c r="AD26" s="119" t="str">
        <f t="shared" si="10"/>
        <v> </v>
      </c>
      <c r="AE26" s="119" t="str">
        <f t="shared" si="11"/>
        <v> </v>
      </c>
      <c r="AF26" s="119" t="str">
        <f t="shared" si="12"/>
        <v> </v>
      </c>
      <c r="AG26" s="119" t="str">
        <f t="shared" si="13"/>
        <v> </v>
      </c>
      <c r="AH26" s="119" t="str">
        <f t="shared" si="14"/>
        <v> </v>
      </c>
      <c r="AI26" s="119" t="str">
        <f t="shared" si="15"/>
        <v> </v>
      </c>
      <c r="AJ26" s="119" t="str">
        <f t="shared" si="16"/>
        <v> </v>
      </c>
      <c r="AK26" s="112" t="str">
        <f t="shared" si="17"/>
        <v> </v>
      </c>
      <c r="AL26" s="65">
        <f t="shared" si="18"/>
      </c>
      <c r="AM26" s="113" t="str">
        <f t="shared" si="19"/>
        <v> </v>
      </c>
      <c r="AN26" s="102">
        <v>12</v>
      </c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5:69" ht="12.75"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05"/>
      <c r="AB27" s="108"/>
      <c r="AC27" s="34"/>
      <c r="AD27" s="34"/>
      <c r="AE27" s="34"/>
      <c r="AF27" s="34"/>
      <c r="AG27" s="34"/>
      <c r="AH27" s="34"/>
      <c r="AI27" s="34"/>
      <c r="AJ27" s="34"/>
      <c r="AK27" s="109"/>
      <c r="AL27" s="72"/>
      <c r="AM27" s="105"/>
      <c r="AN27" s="10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5:69" ht="12.75"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05"/>
      <c r="AB28" s="108"/>
      <c r="AC28" s="34"/>
      <c r="AD28" s="34"/>
      <c r="AE28" s="34"/>
      <c r="AF28" s="34"/>
      <c r="AG28" s="34"/>
      <c r="AH28" s="34"/>
      <c r="AI28" s="34"/>
      <c r="AJ28" s="34"/>
      <c r="AK28" s="109"/>
      <c r="AL28" s="72"/>
      <c r="AM28" s="105"/>
      <c r="AN28" s="10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26:40" ht="12.75">
      <c r="Z29" s="2"/>
      <c r="AA29" s="105"/>
      <c r="AC29" s="101" t="str">
        <f>IF(AC30=1,"AC","")&amp;IF(AC30=2,"AD","")&amp;IF(AC30=3,"AE","")&amp;IF(AC30=4,"AF","")&amp;IF(AC30=5,"AG","")&amp;IF(AC30=6,"AH","")&amp;IF(AC30=7,"Ai","")&amp;IF(AC30=8,"Aj","")&amp;IF(AC30=9,"Ak","")&amp;IF(AC30=10,"Al","")</f>
        <v>AC</v>
      </c>
      <c r="AD29" s="101" t="str">
        <f>IF(AD30=1,"AC","")&amp;IF(AD30=2,"AD","")&amp;IF(AD30=3,"AE","")&amp;IF(AD30=4,"AF","")&amp;IF(AD30=5,"AG","")&amp;IF(AD30=6,"AH","")&amp;IF(AD30=7,"Ai","")&amp;IF(AD30=8,"Aj","")&amp;IF(AD30=9,"Ak","")&amp;IF(AD30=10,"Al","")</f>
        <v>AD</v>
      </c>
      <c r="AE29" s="101" t="str">
        <f>IF(AE30=1,"AC","")&amp;IF(AE30=2,"AD","")&amp;IF(AE30=3,"AE","")&amp;IF(AE30=4,"AF","")&amp;IF(AE30=5,"AG","")&amp;IF(AE30=6,"AH","")&amp;IF(AE30=7,"Ai","")&amp;IF(AE30=8,"Aj","")&amp;IF(AE30=9,"Ak","")&amp;IF(AE30=10,"Al","")</f>
        <v>AE</v>
      </c>
      <c r="AF29" s="101" t="str">
        <f>IF(AF30=1,"AC","")&amp;IF(AF30=2,"AD","")&amp;IF(AF30=3,"AE","")&amp;IF(AF30=4,"AF","")&amp;IF(AF30=5,"AG","")&amp;IF(AF30=6,"AH","")&amp;IF(AF30=7,"Ai","")&amp;IF(AF30=8,"Aj","")&amp;IF(AF30=9,"Ak","")&amp;IF(AF30=10,"Al","")</f>
        <v>AF</v>
      </c>
      <c r="AG29" s="101" t="str">
        <f>IF(AG30=1,"AC","")&amp;IF(AG30=2,"AD","")&amp;IF(AG30=3,"AE","")&amp;IF(AG30=4,"AF","")&amp;IF(AG30=5,"AG","")&amp;IF(AG30=6,"AH","")&amp;IF(AG30=7,"Ai","")&amp;IF(AG30=8,"Aj","")&amp;IF(AG30=9,"Ak","")&amp;IF(AG30=10,"Al","")</f>
        <v>AG</v>
      </c>
      <c r="AH29" s="101" t="str">
        <f>IF(AH30=1,"AC","")&amp;IF(AH30=2,"AD","")&amp;IF(AH30=3,"AE","")&amp;IF(AH30=4,"AF","")&amp;IF(AH30=5,"AG","")&amp;IF(AH30=6,"AH","")&amp;IF(AH30=7,"AI","")&amp;IF(AH30=8,"AJ","")&amp;IF(AH30=9,"Ak","")&amp;IF(AH30=10,"Al","")</f>
        <v>AH</v>
      </c>
      <c r="AI29" s="101" t="str">
        <f>IF(AI30=1,"AC","")&amp;IF(AI30=2,"AD","")&amp;IF(AI30=3,"AE","")&amp;IF(AI30=4,"AF","")&amp;IF(AI30=5,"AG","")&amp;IF(AI30=6,"AH","")&amp;IF(AI30=7,"AI","")&amp;IF(AI30=8,"AJ","")&amp;IF(AI30=9,"AK","")&amp;IF(AI30=10,"Al","")</f>
        <v>AI</v>
      </c>
      <c r="AJ29" s="101" t="str">
        <f>IF(AJ30=1,"AC","")&amp;IF(AJ30=2,"AD","")&amp;IF(AJ30=3,"AE","")&amp;IF(AJ30=4,"AF","")&amp;IF(AJ30=5,"AG","")&amp;IF(AJ30=6,"AH","")&amp;IF(AJ30=7,"Ai","")&amp;IF(AJ30=8,"AJ","")&amp;IF(AJ30=9,"Ak","")&amp;IF(AJ30=10,"Al","")</f>
        <v>AJ</v>
      </c>
      <c r="AK29" s="109"/>
      <c r="AL29" s="72"/>
      <c r="AM29" s="105"/>
      <c r="AN29" s="102"/>
    </row>
    <row r="30" spans="26:40" ht="12.75">
      <c r="Z30" s="2"/>
      <c r="AA30" s="105"/>
      <c r="AC30" s="105">
        <f>$AA$19</f>
        <v>1</v>
      </c>
      <c r="AD30" s="105">
        <f>$AA$20</f>
        <v>2</v>
      </c>
      <c r="AE30" s="105">
        <f>$AA$21</f>
        <v>3</v>
      </c>
      <c r="AF30" s="105">
        <f>$AA$22</f>
        <v>4</v>
      </c>
      <c r="AG30" s="105">
        <f>$AA$23</f>
        <v>5</v>
      </c>
      <c r="AH30" s="105">
        <f>$AA$24</f>
        <v>6</v>
      </c>
      <c r="AI30" s="105">
        <f>$AA$25</f>
        <v>7</v>
      </c>
      <c r="AJ30" s="105">
        <f>$AA$26</f>
        <v>8</v>
      </c>
      <c r="AK30" s="109"/>
      <c r="AL30" s="72"/>
      <c r="AM30" s="105"/>
      <c r="AN30" s="102"/>
    </row>
    <row r="31" spans="26:40" ht="12.75">
      <c r="Z31" s="2"/>
      <c r="AB31" s="2">
        <v>19</v>
      </c>
      <c r="AC31" s="2" t="str">
        <f ca="1" t="shared" si="20" ref="AC31:AC38">INDIRECT(AC$29&amp;$AB31)</f>
        <v> </v>
      </c>
      <c r="AD31" s="2" t="str">
        <f ca="1" t="shared" si="21" ref="AD31:AJ38">INDIRECT(AD$29&amp;$AB31)</f>
        <v> </v>
      </c>
      <c r="AE31" s="2" t="str">
        <f ca="1" t="shared" si="21"/>
        <v> </v>
      </c>
      <c r="AF31" s="2" t="str">
        <f ca="1" t="shared" si="21"/>
        <v> </v>
      </c>
      <c r="AG31" s="2" t="str">
        <f ca="1" t="shared" si="21"/>
        <v> </v>
      </c>
      <c r="AH31" s="2" t="str">
        <f ca="1" t="shared" si="21"/>
        <v> </v>
      </c>
      <c r="AI31" s="2" t="str">
        <f ca="1" t="shared" si="21"/>
        <v> </v>
      </c>
      <c r="AJ31" s="2" t="str">
        <f ca="1" t="shared" si="21"/>
        <v> </v>
      </c>
      <c r="AK31" s="2"/>
      <c r="AL31" s="2"/>
      <c r="AM31" s="2"/>
      <c r="AN31" s="101"/>
    </row>
    <row r="32" spans="26:40" ht="12.75">
      <c r="Z32" s="2"/>
      <c r="AB32" s="2">
        <v>20</v>
      </c>
      <c r="AC32" s="2" t="str">
        <f ca="1" t="shared" si="20"/>
        <v> </v>
      </c>
      <c r="AD32" s="2" t="str">
        <f ca="1" t="shared" si="21"/>
        <v> </v>
      </c>
      <c r="AE32" s="2" t="str">
        <f ca="1" t="shared" si="21"/>
        <v> </v>
      </c>
      <c r="AF32" s="2" t="str">
        <f ca="1" t="shared" si="21"/>
        <v> </v>
      </c>
      <c r="AG32" s="2" t="str">
        <f ca="1" t="shared" si="21"/>
        <v> </v>
      </c>
      <c r="AH32" s="2" t="str">
        <f ca="1" t="shared" si="21"/>
        <v> </v>
      </c>
      <c r="AI32" s="2" t="str">
        <f ca="1" t="shared" si="21"/>
        <v> </v>
      </c>
      <c r="AJ32" s="2" t="str">
        <f ca="1" t="shared" si="21"/>
        <v> </v>
      </c>
      <c r="AK32" s="2"/>
      <c r="AL32" s="2"/>
      <c r="AM32" s="2"/>
      <c r="AN32" s="101"/>
    </row>
    <row r="33" spans="26:40" ht="12.75">
      <c r="Z33" s="2"/>
      <c r="AB33" s="2">
        <v>21</v>
      </c>
      <c r="AC33" s="2" t="str">
        <f ca="1" t="shared" si="20"/>
        <v> </v>
      </c>
      <c r="AD33" s="2" t="str">
        <f ca="1" t="shared" si="21"/>
        <v> </v>
      </c>
      <c r="AE33" s="2" t="str">
        <f ca="1" t="shared" si="21"/>
        <v> </v>
      </c>
      <c r="AF33" s="2" t="str">
        <f ca="1" t="shared" si="21"/>
        <v> </v>
      </c>
      <c r="AG33" s="2" t="str">
        <f ca="1" t="shared" si="21"/>
        <v> </v>
      </c>
      <c r="AH33" s="2" t="str">
        <f ca="1" t="shared" si="21"/>
        <v> </v>
      </c>
      <c r="AI33" s="2" t="str">
        <f ca="1" t="shared" si="21"/>
        <v> </v>
      </c>
      <c r="AJ33" s="2" t="str">
        <f ca="1" t="shared" si="21"/>
        <v> </v>
      </c>
      <c r="AK33" s="2"/>
      <c r="AL33" s="2"/>
      <c r="AM33" s="2"/>
      <c r="AN33" s="101"/>
    </row>
    <row r="34" spans="26:40" ht="12.75">
      <c r="Z34" s="2"/>
      <c r="AB34" s="4">
        <v>22</v>
      </c>
      <c r="AC34" s="2" t="str">
        <f ca="1" t="shared" si="20"/>
        <v> </v>
      </c>
      <c r="AD34" s="2" t="str">
        <f ca="1" t="shared" si="21"/>
        <v> </v>
      </c>
      <c r="AE34" s="2" t="str">
        <f ca="1" t="shared" si="21"/>
        <v> </v>
      </c>
      <c r="AF34" s="2" t="str">
        <f ca="1" t="shared" si="21"/>
        <v> </v>
      </c>
      <c r="AG34" s="2" t="str">
        <f ca="1" t="shared" si="21"/>
        <v> </v>
      </c>
      <c r="AH34" s="2" t="str">
        <f ca="1" t="shared" si="21"/>
        <v> </v>
      </c>
      <c r="AI34" s="2" t="str">
        <f ca="1" t="shared" si="21"/>
        <v> </v>
      </c>
      <c r="AJ34" s="2" t="str">
        <f ca="1" t="shared" si="21"/>
        <v> </v>
      </c>
      <c r="AK34" s="114"/>
      <c r="AL34" s="2"/>
      <c r="AM34" s="2"/>
      <c r="AN34" s="101"/>
    </row>
    <row r="35" spans="28:37" ht="12.75">
      <c r="AB35" s="4">
        <v>23</v>
      </c>
      <c r="AC35" s="2" t="str">
        <f ca="1" t="shared" si="20"/>
        <v> </v>
      </c>
      <c r="AD35" s="2" t="str">
        <f ca="1" t="shared" si="21"/>
        <v> </v>
      </c>
      <c r="AE35" s="2" t="str">
        <f ca="1" t="shared" si="21"/>
        <v> </v>
      </c>
      <c r="AF35" s="2" t="str">
        <f ca="1" t="shared" si="21"/>
        <v> </v>
      </c>
      <c r="AG35" s="2" t="str">
        <f ca="1" t="shared" si="21"/>
        <v> </v>
      </c>
      <c r="AH35" s="2" t="str">
        <f ca="1" t="shared" si="21"/>
        <v> </v>
      </c>
      <c r="AI35" s="2" t="str">
        <f ca="1" t="shared" si="21"/>
        <v> </v>
      </c>
      <c r="AJ35" s="2" t="str">
        <f ca="1" t="shared" si="21"/>
        <v> </v>
      </c>
      <c r="AK35" s="9"/>
    </row>
    <row r="36" spans="28:37" ht="12.75">
      <c r="AB36" s="4">
        <v>24</v>
      </c>
      <c r="AC36" s="2" t="str">
        <f ca="1" t="shared" si="20"/>
        <v> </v>
      </c>
      <c r="AD36" s="2" t="str">
        <f ca="1" t="shared" si="21"/>
        <v> </v>
      </c>
      <c r="AE36" s="2" t="str">
        <f ca="1" t="shared" si="21"/>
        <v> </v>
      </c>
      <c r="AF36" s="2" t="str">
        <f ca="1" t="shared" si="21"/>
        <v> </v>
      </c>
      <c r="AG36" s="2" t="str">
        <f ca="1" t="shared" si="21"/>
        <v> </v>
      </c>
      <c r="AH36" s="2" t="str">
        <f ca="1" t="shared" si="21"/>
        <v> </v>
      </c>
      <c r="AI36" s="2" t="str">
        <f ca="1" t="shared" si="21"/>
        <v> </v>
      </c>
      <c r="AJ36" s="2" t="str">
        <f ca="1" t="shared" si="21"/>
        <v> </v>
      </c>
      <c r="AK36" s="2"/>
    </row>
    <row r="37" spans="28:37" ht="12.75">
      <c r="AB37" s="4">
        <v>25</v>
      </c>
      <c r="AC37" s="2" t="str">
        <f ca="1" t="shared" si="20"/>
        <v> </v>
      </c>
      <c r="AD37" s="2" t="str">
        <f ca="1" t="shared" si="21"/>
        <v> </v>
      </c>
      <c r="AE37" s="2" t="str">
        <f ca="1" t="shared" si="21"/>
        <v> </v>
      </c>
      <c r="AF37" s="2" t="str">
        <f ca="1" t="shared" si="21"/>
        <v> </v>
      </c>
      <c r="AG37" s="2" t="str">
        <f ca="1" t="shared" si="21"/>
        <v> </v>
      </c>
      <c r="AH37" s="2" t="str">
        <f ca="1" t="shared" si="21"/>
        <v> </v>
      </c>
      <c r="AI37" s="2" t="str">
        <f ca="1" t="shared" si="21"/>
        <v> </v>
      </c>
      <c r="AJ37" s="2" t="str">
        <f ca="1" t="shared" si="21"/>
        <v> </v>
      </c>
      <c r="AK37" s="2"/>
    </row>
    <row r="38" spans="28:37" ht="12.75">
      <c r="AB38" s="4">
        <v>26</v>
      </c>
      <c r="AC38" s="2" t="str">
        <f ca="1" t="shared" si="20"/>
        <v> </v>
      </c>
      <c r="AD38" s="2" t="str">
        <f ca="1" t="shared" si="21"/>
        <v> </v>
      </c>
      <c r="AE38" s="2" t="str">
        <f ca="1" t="shared" si="21"/>
        <v> </v>
      </c>
      <c r="AF38" s="2" t="str">
        <f ca="1" t="shared" si="21"/>
        <v> </v>
      </c>
      <c r="AG38" s="2" t="str">
        <f ca="1" t="shared" si="21"/>
        <v> </v>
      </c>
      <c r="AH38" s="2" t="str">
        <f ca="1" t="shared" si="21"/>
        <v> </v>
      </c>
      <c r="AI38" s="2" t="str">
        <f ca="1" t="shared" si="21"/>
        <v> </v>
      </c>
      <c r="AJ38" s="2" t="str">
        <f ca="1" t="shared" si="21"/>
        <v> </v>
      </c>
      <c r="AK38" s="2"/>
    </row>
    <row r="39" spans="28:37" ht="12.75">
      <c r="AB39" s="4"/>
      <c r="AK39" s="2"/>
    </row>
    <row r="40" spans="28:37" ht="12.75">
      <c r="AB40" s="4"/>
      <c r="AK40" s="2"/>
    </row>
    <row r="41" spans="28:37" ht="12.75">
      <c r="AB41" s="4"/>
      <c r="AK41" s="2"/>
    </row>
    <row r="42" spans="28:37" ht="12.75">
      <c r="AB42" s="4"/>
      <c r="AK42" s="2"/>
    </row>
    <row r="43" spans="28:37" ht="12.75">
      <c r="AB43" s="4"/>
      <c r="AK43" s="2"/>
    </row>
    <row r="44" spans="28:37" ht="12.75">
      <c r="AB44" s="4"/>
      <c r="AK44" s="2"/>
    </row>
    <row r="45" ht="12.75">
      <c r="AK45" s="2"/>
    </row>
  </sheetData>
  <conditionalFormatting sqref="C26 L26:N26 C12 L12:N12">
    <cfRule type="expression" priority="1" dxfId="0" stopIfTrue="1">
      <formula>$C$26="spielfrei"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B1:BN25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4.28125" style="0" customWidth="1"/>
    <col min="3" max="3" width="20.7109375" style="0" customWidth="1"/>
    <col min="4" max="4" width="4.28125" style="0" customWidth="1"/>
    <col min="5" max="5" width="10.7109375" style="0" customWidth="1"/>
    <col min="7" max="7" width="5.140625" style="0" customWidth="1"/>
    <col min="8" max="8" width="5.140625" style="0" hidden="1" customWidth="1"/>
    <col min="9" max="9" width="4.28125" style="0" hidden="1" customWidth="1"/>
    <col min="10" max="10" width="20.7109375" style="0" hidden="1" customWidth="1"/>
    <col min="11" max="11" width="4.28125" style="0" hidden="1" customWidth="1"/>
    <col min="12" max="12" width="10.7109375" style="0" hidden="1" customWidth="1"/>
    <col min="13" max="14" width="11.421875" style="0" hidden="1" customWidth="1"/>
    <col min="15" max="16" width="3.7109375" style="0" hidden="1" customWidth="1"/>
    <col min="17" max="26" width="11.421875" style="0" hidden="1" customWidth="1"/>
    <col min="27" max="27" width="17.57421875" style="0" hidden="1" customWidth="1"/>
    <col min="28" max="29" width="6.7109375" style="1" hidden="1" customWidth="1"/>
    <col min="30" max="57" width="8.7109375" style="1" hidden="1" customWidth="1"/>
    <col min="58" max="66" width="11.421875" style="0" hidden="1" customWidth="1"/>
  </cols>
  <sheetData>
    <row r="1" spans="2:66" ht="24.75" customHeight="1">
      <c r="B1" s="84" t="str">
        <f>Eingabe!$G$3</f>
        <v>z.B. Monatsblitzturnier</v>
      </c>
      <c r="C1" s="13"/>
      <c r="D1" s="13"/>
      <c r="E1" s="13"/>
      <c r="F1" s="13"/>
      <c r="AD1" s="155"/>
      <c r="AK1" s="155"/>
      <c r="AR1" s="155"/>
      <c r="AY1" s="155"/>
      <c r="BF1" s="160" t="s">
        <v>43</v>
      </c>
      <c r="BG1" s="161" t="s">
        <v>44</v>
      </c>
      <c r="BH1" s="161" t="s">
        <v>45</v>
      </c>
      <c r="BI1" s="161" t="s">
        <v>46</v>
      </c>
      <c r="BJ1" s="161" t="s">
        <v>47</v>
      </c>
      <c r="BK1" s="161" t="s">
        <v>48</v>
      </c>
      <c r="BL1" s="102" t="s">
        <v>49</v>
      </c>
      <c r="BM1" s="162"/>
      <c r="BN1" s="156"/>
    </row>
    <row r="2" spans="2:66" ht="19.5" customHeight="1" thickBot="1">
      <c r="B2" s="56"/>
      <c r="C2" s="56"/>
      <c r="D2" s="57"/>
      <c r="E2" s="57" t="s">
        <v>10</v>
      </c>
      <c r="F2" s="58" t="str">
        <f>Eingabe!G2</f>
        <v>??.??.????</v>
      </c>
      <c r="I2" s="2"/>
      <c r="J2" s="2"/>
      <c r="K2" s="2"/>
      <c r="L2" s="2"/>
      <c r="M2" s="2"/>
      <c r="AD2" s="194" t="s">
        <v>40</v>
      </c>
      <c r="AE2" s="195"/>
      <c r="AF2" s="195"/>
      <c r="AG2" s="195"/>
      <c r="AH2" s="195"/>
      <c r="AI2" s="195"/>
      <c r="AJ2" s="195"/>
      <c r="AK2" s="194" t="s">
        <v>41</v>
      </c>
      <c r="AL2" s="195"/>
      <c r="AM2" s="195"/>
      <c r="AN2" s="195"/>
      <c r="AO2" s="195"/>
      <c r="AP2" s="195"/>
      <c r="AQ2" s="195"/>
      <c r="AR2" s="194" t="s">
        <v>61</v>
      </c>
      <c r="AS2" s="195"/>
      <c r="AT2" s="195"/>
      <c r="AU2" s="195"/>
      <c r="AV2" s="195"/>
      <c r="AW2" s="195"/>
      <c r="AX2" s="195"/>
      <c r="AY2" s="194" t="s">
        <v>42</v>
      </c>
      <c r="AZ2" s="195"/>
      <c r="BA2" s="195"/>
      <c r="BB2" s="195"/>
      <c r="BC2" s="195"/>
      <c r="BD2" s="195"/>
      <c r="BE2" s="195"/>
      <c r="BF2" s="163" t="s">
        <v>50</v>
      </c>
      <c r="BG2" s="164" t="s">
        <v>51</v>
      </c>
      <c r="BH2" s="165" t="s">
        <v>52</v>
      </c>
      <c r="BI2" s="165" t="s">
        <v>53</v>
      </c>
      <c r="BJ2" s="165" t="s">
        <v>54</v>
      </c>
      <c r="BK2" s="165" t="s">
        <v>55</v>
      </c>
      <c r="BL2" s="165" t="s">
        <v>56</v>
      </c>
      <c r="BM2" s="165" t="s">
        <v>57</v>
      </c>
      <c r="BN2" s="156"/>
    </row>
    <row r="3" spans="2:66" ht="19.5" customHeight="1">
      <c r="B3" s="41"/>
      <c r="C3" s="85" t="s">
        <v>24</v>
      </c>
      <c r="D3" s="43"/>
      <c r="E3" s="43"/>
      <c r="F3" s="44"/>
      <c r="I3" s="41"/>
      <c r="J3" s="42"/>
      <c r="K3" s="43"/>
      <c r="L3" s="43"/>
      <c r="M3" s="44"/>
      <c r="O3" s="1"/>
      <c r="P3" s="1"/>
      <c r="Q3" s="92"/>
      <c r="R3" s="92"/>
      <c r="S3" s="92"/>
      <c r="AA3" s="154" t="s">
        <v>37</v>
      </c>
      <c r="AB3" s="96" t="s">
        <v>39</v>
      </c>
      <c r="AC3" s="96" t="s">
        <v>38</v>
      </c>
      <c r="AD3" s="155" t="s">
        <v>11</v>
      </c>
      <c r="AE3" s="3" t="s">
        <v>12</v>
      </c>
      <c r="AF3" s="3" t="s">
        <v>13</v>
      </c>
      <c r="AG3" s="3" t="s">
        <v>15</v>
      </c>
      <c r="AH3" s="3" t="s">
        <v>16</v>
      </c>
      <c r="AI3" s="3" t="s">
        <v>17</v>
      </c>
      <c r="AJ3" s="3" t="s">
        <v>18</v>
      </c>
      <c r="AK3" s="155" t="s">
        <v>11</v>
      </c>
      <c r="AL3" s="3" t="s">
        <v>12</v>
      </c>
      <c r="AM3" s="3" t="s">
        <v>13</v>
      </c>
      <c r="AN3" s="3" t="s">
        <v>15</v>
      </c>
      <c r="AO3" s="3" t="s">
        <v>16</v>
      </c>
      <c r="AP3" s="3" t="s">
        <v>17</v>
      </c>
      <c r="AQ3" s="3" t="s">
        <v>18</v>
      </c>
      <c r="AR3" s="155" t="s">
        <v>11</v>
      </c>
      <c r="AS3" s="3" t="s">
        <v>12</v>
      </c>
      <c r="AT3" s="3" t="s">
        <v>13</v>
      </c>
      <c r="AU3" s="3" t="s">
        <v>15</v>
      </c>
      <c r="AV3" s="3" t="s">
        <v>16</v>
      </c>
      <c r="AW3" s="3" t="s">
        <v>17</v>
      </c>
      <c r="AX3" s="3" t="s">
        <v>18</v>
      </c>
      <c r="AY3" s="155" t="s">
        <v>11</v>
      </c>
      <c r="AZ3" s="3" t="s">
        <v>12</v>
      </c>
      <c r="BA3" s="3" t="s">
        <v>13</v>
      </c>
      <c r="BB3" s="3" t="s">
        <v>15</v>
      </c>
      <c r="BC3" s="3" t="s">
        <v>16</v>
      </c>
      <c r="BD3" s="3" t="s">
        <v>17</v>
      </c>
      <c r="BE3" s="3" t="s">
        <v>18</v>
      </c>
      <c r="BF3" s="156"/>
      <c r="BN3" s="156"/>
    </row>
    <row r="4" spans="2:66" ht="19.5" customHeight="1">
      <c r="B4" s="45"/>
      <c r="C4" s="169" t="str">
        <f>J4</f>
        <v>Stand nach der 0. Runde</v>
      </c>
      <c r="D4" s="46"/>
      <c r="E4" s="60" t="s">
        <v>22</v>
      </c>
      <c r="F4" s="61" t="s">
        <v>21</v>
      </c>
      <c r="I4" s="45"/>
      <c r="J4" s="86" t="str">
        <f>IF(EXACT("spielfrei",Eingabe!C13)=TRUE,Q4,R4)</f>
        <v>Stand nach der 0. Runde</v>
      </c>
      <c r="K4" s="46"/>
      <c r="L4" s="60" t="s">
        <v>22</v>
      </c>
      <c r="M4" s="61" t="s">
        <v>21</v>
      </c>
      <c r="O4" s="34">
        <f>IF(SUM(K5:K11)/7=42/7,1,0)</f>
        <v>0</v>
      </c>
      <c r="P4" s="34"/>
      <c r="Q4" s="87" t="str">
        <f>IF((SUM(K5:K11))/6=MAX(K5:K11)+O4,"Stand nach der "&amp;(MAX(K5:K11)+O4)&amp;". Runde","")</f>
        <v>Stand nach der 0. Runde</v>
      </c>
      <c r="R4" s="87" t="str">
        <f>IF((SUM(K5:K12))/8=MAX(K5:K12),"Stand nach der "&amp;MAX(K5:K12)&amp;". Runde","")</f>
        <v>Stand nach der 0. Runde</v>
      </c>
      <c r="AA4" t="str">
        <f>Eingabe!C6</f>
        <v>Spieler 1</v>
      </c>
      <c r="AB4" s="1">
        <f>Eingabe!E6</f>
        <v>0</v>
      </c>
      <c r="AC4" s="1">
        <f>IF(Eingabe!D6=5,5,IF(Eingabe!D6=10,10,15))</f>
        <v>15</v>
      </c>
      <c r="AD4" s="155">
        <f>$AB$11</f>
        <v>0</v>
      </c>
      <c r="AE4" s="3">
        <f>$AB$9</f>
        <v>0</v>
      </c>
      <c r="AF4" s="3">
        <f>$AB$7</f>
        <v>0</v>
      </c>
      <c r="AG4" s="3">
        <f>$AB$5</f>
        <v>0</v>
      </c>
      <c r="AH4" s="3">
        <f>$AB$10</f>
        <v>0</v>
      </c>
      <c r="AI4" s="3">
        <f>$AB$8</f>
        <v>0</v>
      </c>
      <c r="AJ4" s="3">
        <f>$AB$6</f>
        <v>0</v>
      </c>
      <c r="AK4" s="159" t="str">
        <f>'8 Spieler'!$G$12</f>
        <v> </v>
      </c>
      <c r="AL4" s="34" t="str">
        <f>'8 Spieler'!$Q$13</f>
        <v> </v>
      </c>
      <c r="AM4" s="34" t="str">
        <f>'8 Spieler'!$Y$14</f>
        <v> </v>
      </c>
      <c r="AN4" s="34" t="str">
        <f>'8 Spieler'!$I$23</f>
        <v> </v>
      </c>
      <c r="AO4" s="34" t="str">
        <f>'8 Spieler'!$O$23</f>
        <v> </v>
      </c>
      <c r="AP4" s="34" t="str">
        <f>'8 Spieler'!$W$22</f>
        <v> </v>
      </c>
      <c r="AQ4" s="34" t="str">
        <f>'8 Spieler'!$G$29</f>
        <v> </v>
      </c>
      <c r="AR4" s="159" t="str">
        <f aca="true" t="shared" si="0" ref="AR4:AV11">IF(AD4=0," ",AK4)</f>
        <v> </v>
      </c>
      <c r="AS4" s="34" t="str">
        <f t="shared" si="0"/>
        <v> </v>
      </c>
      <c r="AT4" s="34" t="str">
        <f t="shared" si="0"/>
        <v> </v>
      </c>
      <c r="AU4" s="34" t="str">
        <f t="shared" si="0"/>
        <v> </v>
      </c>
      <c r="AV4" s="34" t="str">
        <f t="shared" si="0"/>
        <v> </v>
      </c>
      <c r="AW4" s="34" t="str">
        <f aca="true" t="shared" si="1" ref="AW4:AW11">IF(AI4=0," ",AP4)</f>
        <v> </v>
      </c>
      <c r="AX4" s="34" t="str">
        <f aca="true" t="shared" si="2" ref="AX4:AX11">IF(AJ4=0," ",AQ4)</f>
        <v> </v>
      </c>
      <c r="AY4" s="166">
        <f aca="true" t="shared" si="3" ref="AY4:BC11">IF(AR4=" ",0,ROUND(1/(1+(POWER(10,(-1*($AB4-AD4)/400)))),3))</f>
        <v>0</v>
      </c>
      <c r="AZ4" s="167">
        <f t="shared" si="3"/>
        <v>0</v>
      </c>
      <c r="BA4" s="167">
        <f t="shared" si="3"/>
        <v>0</v>
      </c>
      <c r="BB4" s="167">
        <f t="shared" si="3"/>
        <v>0</v>
      </c>
      <c r="BC4" s="167">
        <f t="shared" si="3"/>
        <v>0</v>
      </c>
      <c r="BD4" s="167">
        <f aca="true" t="shared" si="4" ref="BD4:BD11">IF(AW4=" ",0,ROUND(1/(1+(POWER(10,(-1*($AB4-AI4)/400)))),3))</f>
        <v>0</v>
      </c>
      <c r="BE4" s="167">
        <f aca="true" t="shared" si="5" ref="BE4:BE11">IF(AX4=" ",0,ROUND(1/(1+(POWER(10,(-1*($AB4-AJ4)/400)))),3))</f>
        <v>0</v>
      </c>
      <c r="BF4" s="168">
        <f>SUM(AY4:BE4)</f>
        <v>0</v>
      </c>
      <c r="BG4" s="1">
        <f>1*((COUNTIF(AR4:AX4,0))+(COUNTIF(AR4:AX4,0.5))+(COUNTIF(AR4:AX4,1)))</f>
        <v>0</v>
      </c>
      <c r="BH4" s="162">
        <f>POWER((AB4/1000),4)+AC4</f>
        <v>15</v>
      </c>
      <c r="BI4" s="162">
        <f aca="true" t="shared" si="6" ref="BI4:BI11">IF(AC4=5,IF(BL4&gt;=BF4,AB4/2000,1),1)</f>
        <v>1</v>
      </c>
      <c r="BJ4" s="162">
        <f aca="true" t="shared" si="7" ref="BJ4:BJ11">IF(BL4&gt;=BF4,0,IF((IF(AC4=5,IF(AB4&lt;1300,(POWER(2.71828,(1300-AB4)/150))-1,0),0))&gt;150,150,IF(AC4=5,IF(AB4&lt;1300,(POWER(2.71828,(1300-AB4)/150))-1,0),0)))</f>
        <v>0</v>
      </c>
      <c r="BK4" s="162">
        <f>IF(BJ4&gt;0,IF((ROUND((BH4*BI4)+BJ4,0))&lt;5,5,(ROUND((BH4*BI4)+BJ4,0))),IF(IF((ROUND((BH4*BI4)+BJ4,0))&lt;5,5,(ROUND((BH4*BI4)+BJ4,0)))&gt;30,30,IF((ROUND((BH4*BI4)+BJ4,0))&lt;5,5,(ROUND((BH4*BI4)+BJ4,0)))))</f>
        <v>15</v>
      </c>
      <c r="BL4" s="1">
        <f>SUM(AR4:AX4)</f>
        <v>0</v>
      </c>
      <c r="BM4" s="1">
        <f>IF(AB4=0,AB4,ROUND(AB4+800*(BL4-BF4)/(BK4+BG4),0))</f>
        <v>0</v>
      </c>
      <c r="BN4" s="156"/>
    </row>
    <row r="5" spans="2:66" ht="19.5" customHeight="1">
      <c r="B5" s="51" t="str">
        <f>IF(D5=0," ","1.")</f>
        <v> </v>
      </c>
      <c r="C5" s="47" t="str">
        <f>VLOOKUP($T5,$I$5:$M$12,2,FALSE)</f>
        <v>Spieler 1</v>
      </c>
      <c r="D5" s="48">
        <f>VLOOKUP($T5,$I$5:$M$12,3,FALSE)</f>
        <v>0</v>
      </c>
      <c r="E5" s="62">
        <f>VLOOKUP($T5,$I$5:$M$12,4,FALSE)</f>
      </c>
      <c r="F5" s="68" t="str">
        <f>VLOOKUP($T5,$I$5:$M$12,5,FALSE)</f>
        <v> </v>
      </c>
      <c r="I5" s="51">
        <f>RANK(N5,$N$5:$N$12,0)</f>
        <v>1</v>
      </c>
      <c r="J5" s="47" t="str">
        <f>Eingabe!$C$6</f>
        <v>Spieler 1</v>
      </c>
      <c r="K5" s="48">
        <f>IF(COUNT('Kreuztabelle 8'!D19:'Kreuztabelle 8'!K19)&gt;0,COUNT('Kreuztabelle 8'!D19:'Kreuztabelle 8'!K19),0)</f>
        <v>0</v>
      </c>
      <c r="L5" s="62">
        <f>'Kreuztabelle 8'!M19</f>
      </c>
      <c r="M5" s="68" t="str">
        <f>'Kreuztabelle 8'!L19</f>
        <v> </v>
      </c>
      <c r="N5">
        <f>IF(M5=" ",0.1,M5*100000+L5*1000-K5+0.1)</f>
        <v>0.1</v>
      </c>
      <c r="O5" s="70">
        <f>COUNTIF($P$5:$P$12,P5)</f>
        <v>8</v>
      </c>
      <c r="P5" s="70" t="e">
        <f>IF((D5+E5+F5)=0," ",1)</f>
        <v>#VALUE!</v>
      </c>
      <c r="Q5" s="71" t="e">
        <f>IF(O5=1,P5&amp;".",P5&amp;".- "&amp;(P5+O5-1)&amp;".")</f>
        <v>#VALUE!</v>
      </c>
      <c r="R5" s="71" t="str">
        <f aca="true" t="shared" si="8" ref="R5:R12">IF(SUM($D$5:$D$12)=0," ",Q5)</f>
        <v> </v>
      </c>
      <c r="T5" s="1">
        <v>1</v>
      </c>
      <c r="AA5" t="str">
        <f>Eingabe!C7</f>
        <v>Spieler 2</v>
      </c>
      <c r="AB5" s="1">
        <f>Eingabe!E7</f>
        <v>0</v>
      </c>
      <c r="AC5" s="1">
        <f>IF(Eingabe!D7=5,5,IF(Eingabe!D7=10,10,15))</f>
        <v>15</v>
      </c>
      <c r="AD5" s="155">
        <f>$AB$10</f>
        <v>0</v>
      </c>
      <c r="AE5" s="3">
        <f>$AB$8</f>
        <v>0</v>
      </c>
      <c r="AF5" s="3">
        <f>$AB$6</f>
        <v>0</v>
      </c>
      <c r="AG5" s="3">
        <f>$AB$4</f>
        <v>0</v>
      </c>
      <c r="AH5" s="3">
        <f>$AB$9</f>
        <v>0</v>
      </c>
      <c r="AI5" s="3">
        <f>$AB$7</f>
        <v>0</v>
      </c>
      <c r="AJ5" s="3">
        <f>$AB$11</f>
        <v>0</v>
      </c>
      <c r="AK5" s="159" t="str">
        <f>'8 Spieler'!$I$13</f>
        <v> </v>
      </c>
      <c r="AL5" s="34" t="str">
        <f>'8 Spieler'!$Q$14</f>
        <v> </v>
      </c>
      <c r="AM5" s="34" t="str">
        <f>'8 Spieler'!$Y$15</f>
        <v> </v>
      </c>
      <c r="AN5" s="34" t="str">
        <f>'8 Spieler'!$G$23</f>
        <v> </v>
      </c>
      <c r="AO5" s="34" t="str">
        <f>'8 Spieler'!$O$22</f>
        <v> </v>
      </c>
      <c r="AP5" s="34" t="str">
        <f>'8 Spieler'!$W$21</f>
        <v> </v>
      </c>
      <c r="AQ5" s="34" t="str">
        <f>'8 Spieler'!$G$28</f>
        <v> </v>
      </c>
      <c r="AR5" s="159" t="str">
        <f t="shared" si="0"/>
        <v> </v>
      </c>
      <c r="AS5" s="34" t="str">
        <f t="shared" si="0"/>
        <v> </v>
      </c>
      <c r="AT5" s="34" t="str">
        <f t="shared" si="0"/>
        <v> </v>
      </c>
      <c r="AU5" s="34" t="str">
        <f t="shared" si="0"/>
        <v> </v>
      </c>
      <c r="AV5" s="34" t="str">
        <f t="shared" si="0"/>
        <v> </v>
      </c>
      <c r="AW5" s="34" t="str">
        <f t="shared" si="1"/>
        <v> </v>
      </c>
      <c r="AX5" s="34" t="str">
        <f t="shared" si="2"/>
        <v> </v>
      </c>
      <c r="AY5" s="166">
        <f t="shared" si="3"/>
        <v>0</v>
      </c>
      <c r="AZ5" s="167">
        <f t="shared" si="3"/>
        <v>0</v>
      </c>
      <c r="BA5" s="167">
        <f t="shared" si="3"/>
        <v>0</v>
      </c>
      <c r="BB5" s="167">
        <f t="shared" si="3"/>
        <v>0</v>
      </c>
      <c r="BC5" s="167">
        <f t="shared" si="3"/>
        <v>0</v>
      </c>
      <c r="BD5" s="167">
        <f t="shared" si="4"/>
        <v>0</v>
      </c>
      <c r="BE5" s="167">
        <f t="shared" si="5"/>
        <v>0</v>
      </c>
      <c r="BF5" s="168">
        <f aca="true" t="shared" si="9" ref="BF5:BF11">SUM(AY5:BE5)</f>
        <v>0</v>
      </c>
      <c r="BG5" s="1">
        <f aca="true" t="shared" si="10" ref="BG5:BG11">1*((COUNTIF(AR5:AX5,0))+(COUNTIF(AR5:AX5,0.5))+(COUNTIF(AR5:AX5,1)))</f>
        <v>0</v>
      </c>
      <c r="BH5" s="162">
        <f aca="true" t="shared" si="11" ref="BH5:BH11">POWER((AB5/1000),4)+AC5</f>
        <v>15</v>
      </c>
      <c r="BI5" s="162">
        <f t="shared" si="6"/>
        <v>1</v>
      </c>
      <c r="BJ5" s="162">
        <f t="shared" si="7"/>
        <v>0</v>
      </c>
      <c r="BK5" s="162">
        <f aca="true" t="shared" si="12" ref="BK5:BK11">IF(BJ5&gt;0,IF((ROUND((BH5*BI5)+BJ5,0))&lt;5,5,(ROUND((BH5*BI5)+BJ5,0))),IF(IF((ROUND((BH5*BI5)+BJ5,0))&lt;5,5,(ROUND((BH5*BI5)+BJ5,0)))&gt;30,30,IF((ROUND((BH5*BI5)+BJ5,0))&lt;5,5,(ROUND((BH5*BI5)+BJ5,0)))))</f>
        <v>15</v>
      </c>
      <c r="BL5" s="1">
        <f aca="true" t="shared" si="13" ref="BL5:BL11">SUM(AR5:AX5)</f>
        <v>0</v>
      </c>
      <c r="BM5" s="1">
        <f aca="true" t="shared" si="14" ref="BM5:BM10">IF(AB5=0,AB5,ROUND(AB5+800*(BL5-BF5)/(BK5+BG5),0))</f>
        <v>0</v>
      </c>
      <c r="BN5" s="156"/>
    </row>
    <row r="6" spans="2:66" ht="19.5" customHeight="1">
      <c r="B6" s="51">
        <f>IF(AND(D5=D6,E5=E6,F5=F6),"","2.")</f>
      </c>
      <c r="C6" s="47" t="str">
        <f aca="true" t="shared" si="15" ref="C6:C12">VLOOKUP($T6,$I$5:$M$12,2,FALSE)</f>
        <v>Spieler 2</v>
      </c>
      <c r="D6" s="48">
        <f aca="true" t="shared" si="16" ref="D6:D12">VLOOKUP($T6,$I$5:$M$12,3,FALSE)</f>
        <v>0</v>
      </c>
      <c r="E6" s="62">
        <f aca="true" t="shared" si="17" ref="E6:E12">VLOOKUP($T6,$I$5:$M$12,4,FALSE)</f>
      </c>
      <c r="F6" s="68" t="str">
        <f aca="true" t="shared" si="18" ref="F6:F12">VLOOKUP($T6,$I$5:$M$12,5,FALSE)</f>
        <v> </v>
      </c>
      <c r="I6" s="51">
        <f aca="true" t="shared" si="19" ref="I6:I12">RANK(N6,$N$5:$N$12,0)</f>
        <v>2</v>
      </c>
      <c r="J6" s="47" t="str">
        <f>Eingabe!$C$7</f>
        <v>Spieler 2</v>
      </c>
      <c r="K6" s="48">
        <f>IF(COUNT('Kreuztabelle 8'!D20:'Kreuztabelle 8'!K20)&gt;0,COUNT('Kreuztabelle 8'!D20:'Kreuztabelle 8'!K20),0)</f>
        <v>0</v>
      </c>
      <c r="L6" s="62">
        <f>'Kreuztabelle 8'!M20</f>
      </c>
      <c r="M6" s="68" t="str">
        <f>'Kreuztabelle 8'!L20</f>
        <v> </v>
      </c>
      <c r="N6">
        <f>IF(M6=" ",0.09,M6*100000+L6*1000-K6+0.09)</f>
        <v>0.09</v>
      </c>
      <c r="O6" s="70">
        <f aca="true" t="shared" si="20" ref="O6:O12">COUNTIF($P$5:$P$12,P6)</f>
        <v>8</v>
      </c>
      <c r="P6" s="70" t="e">
        <f>IF(AND(D5=D6,E5=E6,F5=F6),P5,2)</f>
        <v>#VALUE!</v>
      </c>
      <c r="Q6" s="71" t="e">
        <f aca="true" t="shared" si="21" ref="Q6:Q12">IF(O6=1,P6&amp;".",P6&amp;".- "&amp;(P6+O6-1)&amp;".")</f>
        <v>#VALUE!</v>
      </c>
      <c r="R6" s="71" t="str">
        <f t="shared" si="8"/>
        <v> </v>
      </c>
      <c r="T6" s="1">
        <v>2</v>
      </c>
      <c r="AA6" t="str">
        <f>Eingabe!C8</f>
        <v>Spieler 3</v>
      </c>
      <c r="AB6" s="1">
        <f>Eingabe!E8</f>
        <v>0</v>
      </c>
      <c r="AC6" s="1">
        <f>IF(Eingabe!D8=5,5,IF(Eingabe!D8=10,10,15))</f>
        <v>15</v>
      </c>
      <c r="AD6" s="155">
        <f>$AB$9</f>
        <v>0</v>
      </c>
      <c r="AE6" s="3">
        <f>$AB$7</f>
        <v>0</v>
      </c>
      <c r="AF6" s="3">
        <f>$AB$5</f>
        <v>0</v>
      </c>
      <c r="AG6" s="3">
        <f>$AB$10</f>
        <v>0</v>
      </c>
      <c r="AH6" s="3">
        <f>$AB$8</f>
        <v>0</v>
      </c>
      <c r="AI6" s="3">
        <f>$AB$11</f>
        <v>0</v>
      </c>
      <c r="AJ6" s="3">
        <f>$AB$4</f>
        <v>0</v>
      </c>
      <c r="AK6" s="159" t="str">
        <f>'8 Spieler'!$I$14</f>
        <v> </v>
      </c>
      <c r="AL6" s="34" t="str">
        <f>'8 Spieler'!$Q$15</f>
        <v> </v>
      </c>
      <c r="AM6" s="34" t="str">
        <f>'8 Spieler'!$W$15</f>
        <v> </v>
      </c>
      <c r="AN6" s="34" t="str">
        <f>'8 Spieler'!$G$22</f>
        <v> </v>
      </c>
      <c r="AO6" s="34" t="str">
        <f>'8 Spieler'!$O$21</f>
        <v> </v>
      </c>
      <c r="AP6" s="34" t="str">
        <f>'8 Spieler'!$W$20</f>
        <v> </v>
      </c>
      <c r="AQ6" s="34" t="str">
        <f>'8 Spieler'!$I$29</f>
        <v> </v>
      </c>
      <c r="AR6" s="159" t="str">
        <f t="shared" si="0"/>
        <v> </v>
      </c>
      <c r="AS6" s="34" t="str">
        <f t="shared" si="0"/>
        <v> </v>
      </c>
      <c r="AT6" s="34" t="str">
        <f t="shared" si="0"/>
        <v> </v>
      </c>
      <c r="AU6" s="34" t="str">
        <f t="shared" si="0"/>
        <v> </v>
      </c>
      <c r="AV6" s="34" t="str">
        <f t="shared" si="0"/>
        <v> </v>
      </c>
      <c r="AW6" s="34" t="str">
        <f t="shared" si="1"/>
        <v> </v>
      </c>
      <c r="AX6" s="34" t="str">
        <f t="shared" si="2"/>
        <v> </v>
      </c>
      <c r="AY6" s="166">
        <f t="shared" si="3"/>
        <v>0</v>
      </c>
      <c r="AZ6" s="167">
        <f t="shared" si="3"/>
        <v>0</v>
      </c>
      <c r="BA6" s="167">
        <f t="shared" si="3"/>
        <v>0</v>
      </c>
      <c r="BB6" s="167">
        <f t="shared" si="3"/>
        <v>0</v>
      </c>
      <c r="BC6" s="167">
        <f t="shared" si="3"/>
        <v>0</v>
      </c>
      <c r="BD6" s="167">
        <f t="shared" si="4"/>
        <v>0</v>
      </c>
      <c r="BE6" s="167">
        <f t="shared" si="5"/>
        <v>0</v>
      </c>
      <c r="BF6" s="168">
        <f t="shared" si="9"/>
        <v>0</v>
      </c>
      <c r="BG6" s="1">
        <f t="shared" si="10"/>
        <v>0</v>
      </c>
      <c r="BH6" s="162">
        <f t="shared" si="11"/>
        <v>15</v>
      </c>
      <c r="BI6" s="162">
        <f t="shared" si="6"/>
        <v>1</v>
      </c>
      <c r="BJ6" s="162">
        <f t="shared" si="7"/>
        <v>0</v>
      </c>
      <c r="BK6" s="162">
        <f t="shared" si="12"/>
        <v>15</v>
      </c>
      <c r="BL6" s="1">
        <f t="shared" si="13"/>
        <v>0</v>
      </c>
      <c r="BM6" s="1">
        <f t="shared" si="14"/>
        <v>0</v>
      </c>
      <c r="BN6" s="156"/>
    </row>
    <row r="7" spans="2:66" ht="19.5" customHeight="1">
      <c r="B7" s="51">
        <f>IF(AND(D6=D7,E6=E7,F6=F7),"","3.")</f>
      </c>
      <c r="C7" s="47" t="str">
        <f t="shared" si="15"/>
        <v>Spieler 3</v>
      </c>
      <c r="D7" s="48">
        <f t="shared" si="16"/>
        <v>0</v>
      </c>
      <c r="E7" s="62">
        <f t="shared" si="17"/>
      </c>
      <c r="F7" s="68" t="str">
        <f t="shared" si="18"/>
        <v> </v>
      </c>
      <c r="I7" s="51">
        <f t="shared" si="19"/>
        <v>3</v>
      </c>
      <c r="J7" s="47" t="str">
        <f>Eingabe!$C$8</f>
        <v>Spieler 3</v>
      </c>
      <c r="K7" s="48">
        <f>IF(COUNT('Kreuztabelle 8'!D21:'Kreuztabelle 8'!K21)&gt;0,COUNT('Kreuztabelle 8'!D21:'Kreuztabelle 8'!K21),0)</f>
        <v>0</v>
      </c>
      <c r="L7" s="62">
        <f>'Kreuztabelle 8'!M21</f>
      </c>
      <c r="M7" s="68" t="str">
        <f>'Kreuztabelle 8'!L21</f>
        <v> </v>
      </c>
      <c r="N7">
        <f>IF(M7=" ",0.08,M7*100000+L7*1000-K7+0.08)</f>
        <v>0.08</v>
      </c>
      <c r="O7" s="70">
        <f t="shared" si="20"/>
        <v>8</v>
      </c>
      <c r="P7" s="70" t="e">
        <f>IF(AND(D6=D7,E6=E7,F6=F7),P6,3)</f>
        <v>#VALUE!</v>
      </c>
      <c r="Q7" s="71" t="e">
        <f t="shared" si="21"/>
        <v>#VALUE!</v>
      </c>
      <c r="R7" s="71" t="str">
        <f t="shared" si="8"/>
        <v> </v>
      </c>
      <c r="T7" s="1">
        <v>3</v>
      </c>
      <c r="AA7" t="str">
        <f>Eingabe!C9</f>
        <v>Spieler 4</v>
      </c>
      <c r="AB7" s="1">
        <f>Eingabe!E9</f>
        <v>0</v>
      </c>
      <c r="AC7" s="1">
        <f>IF(Eingabe!D9=5,5,IF(Eingabe!D9=10,10,15))</f>
        <v>15</v>
      </c>
      <c r="AD7" s="155">
        <f>$AB$8</f>
        <v>0</v>
      </c>
      <c r="AE7" s="3">
        <f>$AB$6</f>
        <v>0</v>
      </c>
      <c r="AF7" s="3">
        <f>$AB$4</f>
        <v>0</v>
      </c>
      <c r="AG7" s="3">
        <f>$AB$9</f>
        <v>0</v>
      </c>
      <c r="AH7" s="3">
        <f>$AB$11</f>
        <v>0</v>
      </c>
      <c r="AI7" s="3">
        <f>$AB$5</f>
        <v>0</v>
      </c>
      <c r="AJ7" s="3">
        <f>$AB$10</f>
        <v>0</v>
      </c>
      <c r="AK7" s="159" t="str">
        <f>'8 Spieler'!$I$15</f>
        <v> </v>
      </c>
      <c r="AL7" s="34" t="str">
        <f>'8 Spieler'!$O$15</f>
        <v> </v>
      </c>
      <c r="AM7" s="34" t="str">
        <f>'8 Spieler'!$W$14</f>
        <v> </v>
      </c>
      <c r="AN7" s="34" t="str">
        <f>'8 Spieler'!$G$21</f>
        <v> </v>
      </c>
      <c r="AO7" s="34" t="str">
        <f>'8 Spieler'!$O$20</f>
        <v> </v>
      </c>
      <c r="AP7" s="34" t="str">
        <f>'8 Spieler'!$Y$21</f>
        <v> </v>
      </c>
      <c r="AQ7" s="34" t="str">
        <f>'8 Spieler'!$I$30</f>
        <v> </v>
      </c>
      <c r="AR7" s="159" t="str">
        <f t="shared" si="0"/>
        <v> </v>
      </c>
      <c r="AS7" s="34" t="str">
        <f t="shared" si="0"/>
        <v> </v>
      </c>
      <c r="AT7" s="34" t="str">
        <f t="shared" si="0"/>
        <v> </v>
      </c>
      <c r="AU7" s="34" t="str">
        <f t="shared" si="0"/>
        <v> </v>
      </c>
      <c r="AV7" s="34" t="str">
        <f t="shared" si="0"/>
        <v> </v>
      </c>
      <c r="AW7" s="34" t="str">
        <f t="shared" si="1"/>
        <v> </v>
      </c>
      <c r="AX7" s="34" t="str">
        <f t="shared" si="2"/>
        <v> </v>
      </c>
      <c r="AY7" s="166">
        <f t="shared" si="3"/>
        <v>0</v>
      </c>
      <c r="AZ7" s="167">
        <f t="shared" si="3"/>
        <v>0</v>
      </c>
      <c r="BA7" s="167">
        <f t="shared" si="3"/>
        <v>0</v>
      </c>
      <c r="BB7" s="167">
        <f t="shared" si="3"/>
        <v>0</v>
      </c>
      <c r="BC7" s="167">
        <f t="shared" si="3"/>
        <v>0</v>
      </c>
      <c r="BD7" s="167">
        <f t="shared" si="4"/>
        <v>0</v>
      </c>
      <c r="BE7" s="167">
        <f t="shared" si="5"/>
        <v>0</v>
      </c>
      <c r="BF7" s="168">
        <f t="shared" si="9"/>
        <v>0</v>
      </c>
      <c r="BG7" s="1">
        <f t="shared" si="10"/>
        <v>0</v>
      </c>
      <c r="BH7" s="162">
        <f t="shared" si="11"/>
        <v>15</v>
      </c>
      <c r="BI7" s="162">
        <f t="shared" si="6"/>
        <v>1</v>
      </c>
      <c r="BJ7" s="162">
        <f t="shared" si="7"/>
        <v>0</v>
      </c>
      <c r="BK7" s="162">
        <f t="shared" si="12"/>
        <v>15</v>
      </c>
      <c r="BL7" s="1">
        <f t="shared" si="13"/>
        <v>0</v>
      </c>
      <c r="BM7" s="1">
        <f t="shared" si="14"/>
        <v>0</v>
      </c>
      <c r="BN7" s="156"/>
    </row>
    <row r="8" spans="2:66" ht="19.5" customHeight="1">
      <c r="B8" s="51">
        <f>IF(AND(D7=D8,E7=E8,F7=F8),"","4.")</f>
      </c>
      <c r="C8" s="47" t="str">
        <f t="shared" si="15"/>
        <v>Spieler 4</v>
      </c>
      <c r="D8" s="48">
        <f t="shared" si="16"/>
        <v>0</v>
      </c>
      <c r="E8" s="62">
        <f t="shared" si="17"/>
      </c>
      <c r="F8" s="68" t="str">
        <f t="shared" si="18"/>
        <v> </v>
      </c>
      <c r="I8" s="51">
        <f t="shared" si="19"/>
        <v>4</v>
      </c>
      <c r="J8" s="47" t="str">
        <f>Eingabe!$C$9</f>
        <v>Spieler 4</v>
      </c>
      <c r="K8" s="48">
        <f>IF(COUNT('Kreuztabelle 8'!D22:'Kreuztabelle 8'!K22)&gt;0,COUNT('Kreuztabelle 8'!D22:'Kreuztabelle 8'!K22),0)</f>
        <v>0</v>
      </c>
      <c r="L8" s="62">
        <f>'Kreuztabelle 8'!M22</f>
      </c>
      <c r="M8" s="68" t="str">
        <f>'Kreuztabelle 8'!L22</f>
        <v> </v>
      </c>
      <c r="N8">
        <f>IF(M8=" ",0.07,M8*100000+L8*1000-K8+0.07)</f>
        <v>0.07</v>
      </c>
      <c r="O8" s="70">
        <f t="shared" si="20"/>
        <v>8</v>
      </c>
      <c r="P8" s="70" t="e">
        <f>IF(AND(D7=D8,E7=E8,F7=F8),P7,4)</f>
        <v>#VALUE!</v>
      </c>
      <c r="Q8" s="71" t="e">
        <f t="shared" si="21"/>
        <v>#VALUE!</v>
      </c>
      <c r="R8" s="71" t="str">
        <f t="shared" si="8"/>
        <v> </v>
      </c>
      <c r="T8" s="1">
        <v>4</v>
      </c>
      <c r="AA8" t="str">
        <f>Eingabe!C10</f>
        <v>Spieler 5</v>
      </c>
      <c r="AB8" s="1">
        <f>Eingabe!E10</f>
        <v>0</v>
      </c>
      <c r="AC8" s="1">
        <f>IF(Eingabe!D10=5,5,IF(Eingabe!D10=10,10,15))</f>
        <v>15</v>
      </c>
      <c r="AD8" s="155">
        <f>$AB$7</f>
        <v>0</v>
      </c>
      <c r="AE8" s="3">
        <f>$AB$5</f>
        <v>0</v>
      </c>
      <c r="AF8" s="3">
        <f>$AB$10</f>
        <v>0</v>
      </c>
      <c r="AG8" s="3">
        <f>$AB$11</f>
        <v>0</v>
      </c>
      <c r="AH8" s="3">
        <f>$AB$6</f>
        <v>0</v>
      </c>
      <c r="AI8" s="3">
        <f>$AB$4</f>
        <v>0</v>
      </c>
      <c r="AJ8" s="3">
        <f>$AB$9</f>
        <v>0</v>
      </c>
      <c r="AK8" s="159" t="str">
        <f>'8 Spieler'!$G$15</f>
        <v> </v>
      </c>
      <c r="AL8" s="34" t="str">
        <f>'8 Spieler'!$O$14</f>
        <v> </v>
      </c>
      <c r="AM8" s="34" t="str">
        <f>'8 Spieler'!$W$13</f>
        <v> </v>
      </c>
      <c r="AN8" s="34" t="str">
        <f>'8 Spieler'!$G$20</f>
        <v> </v>
      </c>
      <c r="AO8" s="34" t="str">
        <f>'8 Spieler'!$Q$21</f>
        <v> </v>
      </c>
      <c r="AP8" s="34" t="str">
        <f>'8 Spieler'!$Y$22</f>
        <v> </v>
      </c>
      <c r="AQ8" s="34" t="str">
        <f>'8 Spieler'!$I$31</f>
        <v> </v>
      </c>
      <c r="AR8" s="159" t="str">
        <f t="shared" si="0"/>
        <v> </v>
      </c>
      <c r="AS8" s="34" t="str">
        <f t="shared" si="0"/>
        <v> </v>
      </c>
      <c r="AT8" s="34" t="str">
        <f t="shared" si="0"/>
        <v> </v>
      </c>
      <c r="AU8" s="34" t="str">
        <f t="shared" si="0"/>
        <v> </v>
      </c>
      <c r="AV8" s="34" t="str">
        <f t="shared" si="0"/>
        <v> </v>
      </c>
      <c r="AW8" s="34" t="str">
        <f t="shared" si="1"/>
        <v> </v>
      </c>
      <c r="AX8" s="34" t="str">
        <f t="shared" si="2"/>
        <v> </v>
      </c>
      <c r="AY8" s="166">
        <f t="shared" si="3"/>
        <v>0</v>
      </c>
      <c r="AZ8" s="167">
        <f t="shared" si="3"/>
        <v>0</v>
      </c>
      <c r="BA8" s="167">
        <f t="shared" si="3"/>
        <v>0</v>
      </c>
      <c r="BB8" s="167">
        <f t="shared" si="3"/>
        <v>0</v>
      </c>
      <c r="BC8" s="167">
        <f t="shared" si="3"/>
        <v>0</v>
      </c>
      <c r="BD8" s="167">
        <f t="shared" si="4"/>
        <v>0</v>
      </c>
      <c r="BE8" s="167">
        <f t="shared" si="5"/>
        <v>0</v>
      </c>
      <c r="BF8" s="168">
        <f t="shared" si="9"/>
        <v>0</v>
      </c>
      <c r="BG8" s="1">
        <f t="shared" si="10"/>
        <v>0</v>
      </c>
      <c r="BH8" s="162">
        <f t="shared" si="11"/>
        <v>15</v>
      </c>
      <c r="BI8" s="162">
        <f t="shared" si="6"/>
        <v>1</v>
      </c>
      <c r="BJ8" s="162">
        <f t="shared" si="7"/>
        <v>0</v>
      </c>
      <c r="BK8" s="162">
        <f t="shared" si="12"/>
        <v>15</v>
      </c>
      <c r="BL8" s="1">
        <f t="shared" si="13"/>
        <v>0</v>
      </c>
      <c r="BM8" s="1">
        <f t="shared" si="14"/>
        <v>0</v>
      </c>
      <c r="BN8" s="156"/>
    </row>
    <row r="9" spans="2:66" ht="19.5" customHeight="1">
      <c r="B9" s="51">
        <f>IF(AND(D8=D9,E8=E9,F8=F9),"","5.")</f>
      </c>
      <c r="C9" s="47" t="str">
        <f t="shared" si="15"/>
        <v>Spieler 5</v>
      </c>
      <c r="D9" s="48">
        <f t="shared" si="16"/>
        <v>0</v>
      </c>
      <c r="E9" s="62">
        <f t="shared" si="17"/>
      </c>
      <c r="F9" s="68" t="str">
        <f t="shared" si="18"/>
        <v> </v>
      </c>
      <c r="I9" s="51">
        <f t="shared" si="19"/>
        <v>5</v>
      </c>
      <c r="J9" s="47" t="str">
        <f>Eingabe!$C$10</f>
        <v>Spieler 5</v>
      </c>
      <c r="K9" s="48">
        <f>IF(COUNT('Kreuztabelle 8'!D23:'Kreuztabelle 8'!K23)&gt;0,COUNT('Kreuztabelle 8'!D23:'Kreuztabelle 8'!K23),0)</f>
        <v>0</v>
      </c>
      <c r="L9" s="62">
        <f>'Kreuztabelle 8'!M23</f>
      </c>
      <c r="M9" s="68" t="str">
        <f>'Kreuztabelle 8'!L23</f>
        <v> </v>
      </c>
      <c r="N9">
        <f>IF(M9=" ",0.06,M9*100000+L9*1000-K9+0.06)</f>
        <v>0.06</v>
      </c>
      <c r="O9" s="70">
        <f t="shared" si="20"/>
        <v>8</v>
      </c>
      <c r="P9" s="70" t="e">
        <f>IF(AND(D8=D9,E8=E9,F8=F9),P8,5)</f>
        <v>#VALUE!</v>
      </c>
      <c r="Q9" s="71" t="e">
        <f t="shared" si="21"/>
        <v>#VALUE!</v>
      </c>
      <c r="R9" s="71" t="str">
        <f t="shared" si="8"/>
        <v> </v>
      </c>
      <c r="T9" s="1">
        <v>5</v>
      </c>
      <c r="AA9" t="str">
        <f>Eingabe!C11</f>
        <v>Spieler 6</v>
      </c>
      <c r="AB9" s="1">
        <f>Eingabe!E11</f>
        <v>0</v>
      </c>
      <c r="AC9" s="1">
        <f>IF(Eingabe!D11=5,5,IF(Eingabe!D11=10,10,15))</f>
        <v>15</v>
      </c>
      <c r="AD9" s="155">
        <f>$AB$6</f>
        <v>0</v>
      </c>
      <c r="AE9" s="3">
        <f>$AB$4</f>
        <v>0</v>
      </c>
      <c r="AF9" s="3">
        <f>$AB$11</f>
        <v>0</v>
      </c>
      <c r="AG9" s="3">
        <f>$AB$7</f>
        <v>0</v>
      </c>
      <c r="AH9" s="3">
        <f>$AB$5</f>
        <v>0</v>
      </c>
      <c r="AI9" s="3">
        <f>$AB$10</f>
        <v>0</v>
      </c>
      <c r="AJ9" s="3">
        <f>$AB$8</f>
        <v>0</v>
      </c>
      <c r="AK9" s="159" t="str">
        <f>'8 Spieler'!$G$14</f>
        <v> </v>
      </c>
      <c r="AL9" s="34" t="str">
        <f>'8 Spieler'!$O$13</f>
        <v> </v>
      </c>
      <c r="AM9" s="34" t="str">
        <f>'8 Spieler'!$W$12</f>
        <v> </v>
      </c>
      <c r="AN9" s="34" t="str">
        <f>'8 Spieler'!$I$21</f>
        <v> </v>
      </c>
      <c r="AO9" s="34" t="str">
        <f>'8 Spieler'!$Q$22</f>
        <v> </v>
      </c>
      <c r="AP9" s="34" t="str">
        <f>'8 Spieler'!$Y$23</f>
        <v> </v>
      </c>
      <c r="AQ9" s="34" t="str">
        <f>'8 Spieler'!$G$31</f>
        <v> </v>
      </c>
      <c r="AR9" s="159" t="str">
        <f t="shared" si="0"/>
        <v> </v>
      </c>
      <c r="AS9" s="34" t="str">
        <f t="shared" si="0"/>
        <v> </v>
      </c>
      <c r="AT9" s="34" t="str">
        <f t="shared" si="0"/>
        <v> </v>
      </c>
      <c r="AU9" s="34" t="str">
        <f t="shared" si="0"/>
        <v> </v>
      </c>
      <c r="AV9" s="34" t="str">
        <f t="shared" si="0"/>
        <v> </v>
      </c>
      <c r="AW9" s="34" t="str">
        <f t="shared" si="1"/>
        <v> </v>
      </c>
      <c r="AX9" s="34" t="str">
        <f t="shared" si="2"/>
        <v> </v>
      </c>
      <c r="AY9" s="166">
        <f t="shared" si="3"/>
        <v>0</v>
      </c>
      <c r="AZ9" s="167">
        <f t="shared" si="3"/>
        <v>0</v>
      </c>
      <c r="BA9" s="167">
        <f t="shared" si="3"/>
        <v>0</v>
      </c>
      <c r="BB9" s="167">
        <f t="shared" si="3"/>
        <v>0</v>
      </c>
      <c r="BC9" s="167">
        <f t="shared" si="3"/>
        <v>0</v>
      </c>
      <c r="BD9" s="167">
        <f t="shared" si="4"/>
        <v>0</v>
      </c>
      <c r="BE9" s="167">
        <f t="shared" si="5"/>
        <v>0</v>
      </c>
      <c r="BF9" s="168">
        <f t="shared" si="9"/>
        <v>0</v>
      </c>
      <c r="BG9" s="1">
        <f t="shared" si="10"/>
        <v>0</v>
      </c>
      <c r="BH9" s="162">
        <f t="shared" si="11"/>
        <v>15</v>
      </c>
      <c r="BI9" s="162">
        <f t="shared" si="6"/>
        <v>1</v>
      </c>
      <c r="BJ9" s="162">
        <f t="shared" si="7"/>
        <v>0</v>
      </c>
      <c r="BK9" s="162">
        <f t="shared" si="12"/>
        <v>15</v>
      </c>
      <c r="BL9" s="1">
        <f t="shared" si="13"/>
        <v>0</v>
      </c>
      <c r="BM9" s="1">
        <f t="shared" si="14"/>
        <v>0</v>
      </c>
      <c r="BN9" s="156"/>
    </row>
    <row r="10" spans="2:66" ht="19.5" customHeight="1">
      <c r="B10" s="51">
        <f>IF(AND(D9=D10,E9=E10,F9=F10),"","6.")</f>
      </c>
      <c r="C10" s="47" t="str">
        <f t="shared" si="15"/>
        <v>Spieler 6</v>
      </c>
      <c r="D10" s="48">
        <f t="shared" si="16"/>
        <v>0</v>
      </c>
      <c r="E10" s="62">
        <f t="shared" si="17"/>
      </c>
      <c r="F10" s="68" t="str">
        <f t="shared" si="18"/>
        <v> </v>
      </c>
      <c r="I10" s="51">
        <f t="shared" si="19"/>
        <v>6</v>
      </c>
      <c r="J10" s="47" t="str">
        <f>Eingabe!$C$11</f>
        <v>Spieler 6</v>
      </c>
      <c r="K10" s="48">
        <f>IF(COUNT('Kreuztabelle 8'!D24:'Kreuztabelle 8'!K24)&gt;0,COUNT('Kreuztabelle 8'!D24:'Kreuztabelle 8'!K24),0)</f>
        <v>0</v>
      </c>
      <c r="L10" s="62">
        <f>'Kreuztabelle 8'!M24</f>
      </c>
      <c r="M10" s="68" t="str">
        <f>'Kreuztabelle 8'!L24</f>
        <v> </v>
      </c>
      <c r="N10">
        <f>IF(M10=" ",0.05,M10*100000+L10*1000-K10+0.05)</f>
        <v>0.05</v>
      </c>
      <c r="O10" s="70">
        <f t="shared" si="20"/>
        <v>8</v>
      </c>
      <c r="P10" s="70" t="e">
        <f>IF(AND(D9=D10,E9=E10,F9=F10),P9,6)</f>
        <v>#VALUE!</v>
      </c>
      <c r="Q10" s="71" t="e">
        <f t="shared" si="21"/>
        <v>#VALUE!</v>
      </c>
      <c r="R10" s="71" t="str">
        <f t="shared" si="8"/>
        <v> </v>
      </c>
      <c r="T10" s="1">
        <v>6</v>
      </c>
      <c r="AA10" t="str">
        <f>Eingabe!C12</f>
        <v>Spieler 7</v>
      </c>
      <c r="AB10" s="1">
        <f>Eingabe!E12</f>
        <v>0</v>
      </c>
      <c r="AC10" s="1">
        <f>IF(Eingabe!D12=5,5,IF(Eingabe!D12=10,10,15))</f>
        <v>15</v>
      </c>
      <c r="AD10" s="155">
        <f>$AB$5</f>
        <v>0</v>
      </c>
      <c r="AE10" s="3">
        <f>$AB$11</f>
        <v>0</v>
      </c>
      <c r="AF10" s="3">
        <f>$AB$8</f>
        <v>0</v>
      </c>
      <c r="AG10" s="3">
        <f>$AB$6</f>
        <v>0</v>
      </c>
      <c r="AH10" s="3">
        <f>$AB$4</f>
        <v>0</v>
      </c>
      <c r="AI10" s="3">
        <f>$AB$9</f>
        <v>0</v>
      </c>
      <c r="AJ10" s="3">
        <f>$AB$7</f>
        <v>0</v>
      </c>
      <c r="AK10" s="159" t="str">
        <f>'8 Spieler'!$G$13</f>
        <v> </v>
      </c>
      <c r="AL10" s="34" t="str">
        <f>'8 Spieler'!$O$12</f>
        <v> </v>
      </c>
      <c r="AM10" s="34" t="str">
        <f>'8 Spieler'!$Y$13</f>
        <v> </v>
      </c>
      <c r="AN10" s="34" t="str">
        <f>'8 Spieler'!$I$22</f>
        <v> </v>
      </c>
      <c r="AO10" s="34" t="str">
        <f>'8 Spieler'!$Q$23</f>
        <v> </v>
      </c>
      <c r="AP10" s="34" t="str">
        <f>'8 Spieler'!$W$23</f>
        <v> </v>
      </c>
      <c r="AQ10" s="34" t="str">
        <f>'8 Spieler'!$G$30</f>
        <v> </v>
      </c>
      <c r="AR10" s="159" t="str">
        <f t="shared" si="0"/>
        <v> </v>
      </c>
      <c r="AS10" s="34" t="str">
        <f t="shared" si="0"/>
        <v> </v>
      </c>
      <c r="AT10" s="34" t="str">
        <f t="shared" si="0"/>
        <v> </v>
      </c>
      <c r="AU10" s="34" t="str">
        <f t="shared" si="0"/>
        <v> </v>
      </c>
      <c r="AV10" s="34" t="str">
        <f t="shared" si="0"/>
        <v> </v>
      </c>
      <c r="AW10" s="34" t="str">
        <f t="shared" si="1"/>
        <v> </v>
      </c>
      <c r="AX10" s="34" t="str">
        <f t="shared" si="2"/>
        <v> </v>
      </c>
      <c r="AY10" s="166">
        <f t="shared" si="3"/>
        <v>0</v>
      </c>
      <c r="AZ10" s="167">
        <f t="shared" si="3"/>
        <v>0</v>
      </c>
      <c r="BA10" s="167">
        <f t="shared" si="3"/>
        <v>0</v>
      </c>
      <c r="BB10" s="167">
        <f t="shared" si="3"/>
        <v>0</v>
      </c>
      <c r="BC10" s="167">
        <f t="shared" si="3"/>
        <v>0</v>
      </c>
      <c r="BD10" s="167">
        <f t="shared" si="4"/>
        <v>0</v>
      </c>
      <c r="BE10" s="167">
        <f t="shared" si="5"/>
        <v>0</v>
      </c>
      <c r="BF10" s="168">
        <f t="shared" si="9"/>
        <v>0</v>
      </c>
      <c r="BG10" s="1">
        <f t="shared" si="10"/>
        <v>0</v>
      </c>
      <c r="BH10" s="162">
        <f t="shared" si="11"/>
        <v>15</v>
      </c>
      <c r="BI10" s="162">
        <f t="shared" si="6"/>
        <v>1</v>
      </c>
      <c r="BJ10" s="162">
        <f t="shared" si="7"/>
        <v>0</v>
      </c>
      <c r="BK10" s="162">
        <f t="shared" si="12"/>
        <v>15</v>
      </c>
      <c r="BL10" s="1">
        <f t="shared" si="13"/>
        <v>0</v>
      </c>
      <c r="BM10" s="1">
        <f t="shared" si="14"/>
        <v>0</v>
      </c>
      <c r="BN10" s="156"/>
    </row>
    <row r="11" spans="2:66" ht="19.5" customHeight="1">
      <c r="B11" s="51">
        <f>IF(AND(D10=D11,E10=E11,F10=F11),"","7.")</f>
      </c>
      <c r="C11" s="47" t="str">
        <f t="shared" si="15"/>
        <v>Spieler 7</v>
      </c>
      <c r="D11" s="48">
        <f t="shared" si="16"/>
        <v>0</v>
      </c>
      <c r="E11" s="62">
        <f t="shared" si="17"/>
      </c>
      <c r="F11" s="68" t="str">
        <f t="shared" si="18"/>
        <v> </v>
      </c>
      <c r="I11" s="51">
        <f t="shared" si="19"/>
        <v>7</v>
      </c>
      <c r="J11" s="47" t="str">
        <f>Eingabe!$C$12</f>
        <v>Spieler 7</v>
      </c>
      <c r="K11" s="48">
        <f>IF(COUNT('Kreuztabelle 8'!D25:'Kreuztabelle 8'!K25)&gt;0,COUNT('Kreuztabelle 8'!D25:'Kreuztabelle 8'!K25),0)</f>
        <v>0</v>
      </c>
      <c r="L11" s="62">
        <f>'Kreuztabelle 8'!M25</f>
      </c>
      <c r="M11" s="68" t="str">
        <f>'Kreuztabelle 8'!L25</f>
        <v> </v>
      </c>
      <c r="N11">
        <f>IF(M11=" ",0.04,M11*100000+L11*1000-K11+0.04)</f>
        <v>0.04</v>
      </c>
      <c r="O11" s="70">
        <f t="shared" si="20"/>
        <v>8</v>
      </c>
      <c r="P11" s="70" t="e">
        <f>IF(AND(D10=D11,E10=E11,F10=F11),P10,7)</f>
        <v>#VALUE!</v>
      </c>
      <c r="Q11" s="71" t="e">
        <f t="shared" si="21"/>
        <v>#VALUE!</v>
      </c>
      <c r="R11" s="71" t="str">
        <f t="shared" si="8"/>
        <v> </v>
      </c>
      <c r="T11" s="1">
        <v>7</v>
      </c>
      <c r="AA11" t="str">
        <f>Eingabe!C13</f>
        <v>Spieler 8 / spielfrei</v>
      </c>
      <c r="AB11" s="1">
        <f>Eingabe!E13</f>
        <v>0</v>
      </c>
      <c r="AC11" s="1">
        <f>IF(Eingabe!D13=5,5,IF(Eingabe!D13=10,10,15))</f>
        <v>15</v>
      </c>
      <c r="AD11" s="155">
        <f>$AB$4</f>
        <v>0</v>
      </c>
      <c r="AE11" s="3">
        <f>$AB$10</f>
        <v>0</v>
      </c>
      <c r="AF11" s="3">
        <f>$AB$9</f>
        <v>0</v>
      </c>
      <c r="AG11" s="3">
        <f>$AB$8</f>
        <v>0</v>
      </c>
      <c r="AH11" s="3">
        <f>$AB$7</f>
        <v>0</v>
      </c>
      <c r="AI11" s="3">
        <f>$AB$6</f>
        <v>0</v>
      </c>
      <c r="AJ11" s="3">
        <f>$AB$5</f>
        <v>0</v>
      </c>
      <c r="AK11" s="159" t="str">
        <f>'8 Spieler'!$I$12</f>
        <v> </v>
      </c>
      <c r="AL11" s="34" t="str">
        <f>'8 Spieler'!$Q$12</f>
        <v> </v>
      </c>
      <c r="AM11" s="34" t="str">
        <f>'8 Spieler'!$Y$12</f>
        <v> </v>
      </c>
      <c r="AN11" s="34" t="str">
        <f>'8 Spieler'!$I$20</f>
        <v> </v>
      </c>
      <c r="AO11" s="34" t="str">
        <f>'8 Spieler'!$Q$20</f>
        <v> </v>
      </c>
      <c r="AP11" s="34" t="str">
        <f>'8 Spieler'!$Y$20</f>
        <v> </v>
      </c>
      <c r="AQ11" s="34" t="str">
        <f>'8 Spieler'!$I$28</f>
        <v> </v>
      </c>
      <c r="AR11" s="159" t="str">
        <f t="shared" si="0"/>
        <v> </v>
      </c>
      <c r="AS11" s="34" t="str">
        <f t="shared" si="0"/>
        <v> </v>
      </c>
      <c r="AT11" s="34" t="str">
        <f t="shared" si="0"/>
        <v> </v>
      </c>
      <c r="AU11" s="34" t="str">
        <f t="shared" si="0"/>
        <v> </v>
      </c>
      <c r="AV11" s="34" t="str">
        <f t="shared" si="0"/>
        <v> </v>
      </c>
      <c r="AW11" s="34" t="str">
        <f t="shared" si="1"/>
        <v> </v>
      </c>
      <c r="AX11" s="34" t="str">
        <f t="shared" si="2"/>
        <v> </v>
      </c>
      <c r="AY11" s="166">
        <f t="shared" si="3"/>
        <v>0</v>
      </c>
      <c r="AZ11" s="167">
        <f t="shared" si="3"/>
        <v>0</v>
      </c>
      <c r="BA11" s="167">
        <f t="shared" si="3"/>
        <v>0</v>
      </c>
      <c r="BB11" s="167">
        <f t="shared" si="3"/>
        <v>0</v>
      </c>
      <c r="BC11" s="167">
        <f t="shared" si="3"/>
        <v>0</v>
      </c>
      <c r="BD11" s="167">
        <f t="shared" si="4"/>
        <v>0</v>
      </c>
      <c r="BE11" s="167">
        <f t="shared" si="5"/>
        <v>0</v>
      </c>
      <c r="BF11" s="168">
        <f t="shared" si="9"/>
        <v>0</v>
      </c>
      <c r="BG11" s="1">
        <f t="shared" si="10"/>
        <v>0</v>
      </c>
      <c r="BH11" s="162">
        <f t="shared" si="11"/>
        <v>15</v>
      </c>
      <c r="BI11" s="162">
        <f t="shared" si="6"/>
        <v>1</v>
      </c>
      <c r="BJ11" s="162">
        <f t="shared" si="7"/>
        <v>0</v>
      </c>
      <c r="BK11" s="162">
        <f t="shared" si="12"/>
        <v>15</v>
      </c>
      <c r="BL11" s="1">
        <f t="shared" si="13"/>
        <v>0</v>
      </c>
      <c r="BM11" s="1">
        <f>IF(Eingabe!C13="spielfrei",-999,IF(AB11=0,0,IF(AB11=0,AB11,ROUND(AB11+800*(BL11-BF11)/(BK11+BG11),0))))</f>
        <v>0</v>
      </c>
      <c r="BN11" s="156"/>
    </row>
    <row r="12" spans="2:65" ht="19.5" customHeight="1" thickBot="1">
      <c r="B12" s="52">
        <f>IF('Tabelle 8'!C12="spielfrei","",IF(AND(D11=D12,E11=E12,F11=F12),"","8."))</f>
      </c>
      <c r="C12" s="49" t="str">
        <f t="shared" si="15"/>
        <v>Spieler 8 / spielfrei</v>
      </c>
      <c r="D12" s="50">
        <f t="shared" si="16"/>
        <v>0</v>
      </c>
      <c r="E12" s="63">
        <f t="shared" si="17"/>
      </c>
      <c r="F12" s="69" t="str">
        <f t="shared" si="18"/>
        <v> </v>
      </c>
      <c r="I12" s="52">
        <f t="shared" si="19"/>
        <v>8</v>
      </c>
      <c r="J12" s="49" t="str">
        <f>Eingabe!$C$13</f>
        <v>Spieler 8 / spielfrei</v>
      </c>
      <c r="K12" s="50">
        <f>IF(COUNT('Kreuztabelle 8'!D26:'Kreuztabelle 8'!K26)&gt;0,COUNT('Kreuztabelle 8'!D26:'Kreuztabelle 8'!K26),0)</f>
        <v>0</v>
      </c>
      <c r="L12" s="63">
        <f>IF(Eingabe!C13="spielfrei",-0.001,'Kreuztabelle 8'!M26)</f>
      </c>
      <c r="M12" s="69" t="str">
        <f>'Kreuztabelle 8'!L26</f>
        <v> </v>
      </c>
      <c r="N12">
        <f>IF(M12=" ",0.03,M12*100000+L12*1000-K12+0.03)</f>
        <v>0.03</v>
      </c>
      <c r="O12" s="70">
        <f t="shared" si="20"/>
        <v>8</v>
      </c>
      <c r="P12" s="70" t="e">
        <f>IF(AND(D11=D12,E11=E12,F11=F12),P11,8)</f>
        <v>#VALUE!</v>
      </c>
      <c r="Q12" s="71" t="e">
        <f t="shared" si="21"/>
        <v>#VALUE!</v>
      </c>
      <c r="R12" s="71" t="str">
        <f t="shared" si="8"/>
        <v> </v>
      </c>
      <c r="T12" s="1">
        <v>8</v>
      </c>
      <c r="AA12" s="157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7"/>
      <c r="BG12" s="157"/>
      <c r="BH12" s="157"/>
      <c r="BI12" s="157"/>
      <c r="BJ12" s="157"/>
      <c r="BK12" s="157"/>
      <c r="BL12" s="157"/>
      <c r="BM12" s="157"/>
    </row>
    <row r="13" spans="2:17" ht="19.5" customHeight="1">
      <c r="B13" s="2"/>
      <c r="C13" s="2"/>
      <c r="I13" s="2"/>
      <c r="J13" s="2"/>
      <c r="O13" s="2"/>
      <c r="P13" s="2"/>
      <c r="Q13" s="2"/>
    </row>
    <row r="14" ht="19.5" customHeight="1"/>
    <row r="15" ht="19.5" customHeight="1" thickBot="1"/>
    <row r="16" spans="2:13" ht="19.5" customHeight="1">
      <c r="B16" s="41"/>
      <c r="C16" s="85" t="s">
        <v>58</v>
      </c>
      <c r="D16" s="43"/>
      <c r="E16" s="43"/>
      <c r="F16" s="44"/>
      <c r="I16" s="41"/>
      <c r="J16" s="42"/>
      <c r="K16" s="43"/>
      <c r="L16" s="43"/>
      <c r="M16" s="44"/>
    </row>
    <row r="17" spans="2:13" ht="19.5" customHeight="1">
      <c r="B17" s="45"/>
      <c r="C17" s="169" t="str">
        <f>J4</f>
        <v>Stand nach der 0. Runde</v>
      </c>
      <c r="D17" s="46"/>
      <c r="E17" s="60" t="s">
        <v>59</v>
      </c>
      <c r="F17" s="61" t="s">
        <v>60</v>
      </c>
      <c r="I17" s="45"/>
      <c r="J17" s="56" t="str">
        <f>J4</f>
        <v>Stand nach der 0. Runde</v>
      </c>
      <c r="K17" s="46"/>
      <c r="L17" s="60" t="s">
        <v>59</v>
      </c>
      <c r="M17" s="61" t="s">
        <v>60</v>
      </c>
    </row>
    <row r="18" spans="2:20" ht="19.5" customHeight="1">
      <c r="B18" s="51" t="str">
        <f>IF(SUM($E$18:$E$25)=0," ","1.")</f>
        <v> </v>
      </c>
      <c r="C18" s="47" t="str">
        <f>VLOOKUP($T18,$I$18:$M$25,2,FALSE)</f>
        <v>Spieler 1</v>
      </c>
      <c r="D18" s="48">
        <f>VLOOKUP($T18,$I$18:$M$25,3,FALSE)</f>
        <v>0</v>
      </c>
      <c r="E18" s="170">
        <f>VLOOKUP($T18,$I$18:$M$25,4,FALSE)</f>
        <v>0</v>
      </c>
      <c r="F18" s="171">
        <f>VLOOKUP($T18,$I$18:$M$25,5,FALSE)</f>
        <v>0</v>
      </c>
      <c r="I18" s="51">
        <f>RANK(N18,$N$18:$N$25,0)</f>
        <v>1</v>
      </c>
      <c r="J18" s="47" t="str">
        <f>Eingabe!$C$6</f>
        <v>Spieler 1</v>
      </c>
      <c r="K18" s="48">
        <f>IF(COUNT('Kreuztabelle 8'!D19:'Kreuztabelle 8'!K19)&gt;0,COUNT('Kreuztabelle 8'!D19:'Kreuztabelle 8'!K19),0)</f>
        <v>0</v>
      </c>
      <c r="L18" s="170">
        <f>BM4</f>
        <v>0</v>
      </c>
      <c r="M18" s="171">
        <f aca="true" t="shared" si="22" ref="M18:M25">BM4-AB4</f>
        <v>0</v>
      </c>
      <c r="N18">
        <f>IF(M18=" ",0.1,M18*10000+L18+0.1)</f>
        <v>0.1</v>
      </c>
      <c r="O18" s="70">
        <f>COUNTIF($P$5:$P$12,P18)</f>
        <v>0</v>
      </c>
      <c r="P18" s="70" t="str">
        <f>IF((D18+E18+F18)=0," ",1)</f>
        <v> </v>
      </c>
      <c r="T18" s="1">
        <v>1</v>
      </c>
    </row>
    <row r="19" spans="2:20" ht="19.5" customHeight="1">
      <c r="B19" s="51">
        <f>IF(SUM($D$18:$D$25)=0,"",IF(AND(D18=D19,E18=E19,F18=F19),"","2."))</f>
      </c>
      <c r="C19" s="47" t="str">
        <f aca="true" t="shared" si="23" ref="C19:C25">VLOOKUP($T19,$I$18:$M$25,2,FALSE)</f>
        <v>Spieler 2</v>
      </c>
      <c r="D19" s="48">
        <f aca="true" t="shared" si="24" ref="D19:D25">VLOOKUP($T19,$I$18:$M$25,3,FALSE)</f>
        <v>0</v>
      </c>
      <c r="E19" s="170">
        <f aca="true" t="shared" si="25" ref="E19:E25">VLOOKUP($T19,$I$18:$M$25,4,FALSE)</f>
        <v>0</v>
      </c>
      <c r="F19" s="171">
        <f aca="true" t="shared" si="26" ref="F19:F25">VLOOKUP($T19,$I$18:$M$25,5,FALSE)</f>
        <v>0</v>
      </c>
      <c r="I19" s="51">
        <f aca="true" t="shared" si="27" ref="I19:I25">RANK(N19,$N$18:$N$25,0)</f>
        <v>2</v>
      </c>
      <c r="J19" s="47" t="str">
        <f>Eingabe!$C$7</f>
        <v>Spieler 2</v>
      </c>
      <c r="K19" s="48">
        <f>IF(COUNT('Kreuztabelle 8'!D20:'Kreuztabelle 8'!K20)&gt;0,COUNT('Kreuztabelle 8'!D20:'Kreuztabelle 8'!K20),0)</f>
        <v>0</v>
      </c>
      <c r="L19" s="170">
        <f aca="true" t="shared" si="28" ref="L19:L25">BM5</f>
        <v>0</v>
      </c>
      <c r="M19" s="171">
        <f t="shared" si="22"/>
        <v>0</v>
      </c>
      <c r="N19">
        <f>IF(M19=" ",0.1,M19*10000+L19+0.09)</f>
        <v>0.09</v>
      </c>
      <c r="O19" s="70">
        <f aca="true" t="shared" si="29" ref="O19:O25">COUNTIF($P$5:$P$12,P19)</f>
        <v>0</v>
      </c>
      <c r="P19" s="70" t="str">
        <f>IF(AND(D18=D19,E18=E19,F18=F19),P18,2)</f>
        <v> </v>
      </c>
      <c r="T19" s="1">
        <v>2</v>
      </c>
    </row>
    <row r="20" spans="2:20" ht="19.5" customHeight="1">
      <c r="B20" s="51">
        <f>IF(SUM($D$18:$D$25)=0,"",IF(AND(D19=D20,E19=E20,F19=F20),"","3."))</f>
      </c>
      <c r="C20" s="47" t="str">
        <f t="shared" si="23"/>
        <v>Spieler 3</v>
      </c>
      <c r="D20" s="48">
        <f t="shared" si="24"/>
        <v>0</v>
      </c>
      <c r="E20" s="170">
        <f t="shared" si="25"/>
        <v>0</v>
      </c>
      <c r="F20" s="171">
        <f t="shared" si="26"/>
        <v>0</v>
      </c>
      <c r="I20" s="51">
        <f t="shared" si="27"/>
        <v>3</v>
      </c>
      <c r="J20" s="47" t="str">
        <f>Eingabe!$C$8</f>
        <v>Spieler 3</v>
      </c>
      <c r="K20" s="48">
        <f>IF(COUNT('Kreuztabelle 8'!D21:'Kreuztabelle 8'!K21)&gt;0,COUNT('Kreuztabelle 8'!D21:'Kreuztabelle 8'!K21),0)</f>
        <v>0</v>
      </c>
      <c r="L20" s="170">
        <f t="shared" si="28"/>
        <v>0</v>
      </c>
      <c r="M20" s="171">
        <f t="shared" si="22"/>
        <v>0</v>
      </c>
      <c r="N20">
        <f>IF(M20=" ",0.1,M20*10000+L20+0.08)</f>
        <v>0.08</v>
      </c>
      <c r="O20" s="70">
        <f t="shared" si="29"/>
        <v>0</v>
      </c>
      <c r="P20" s="70" t="str">
        <f>IF(AND(D19=D20,E19=E20,F19=F20),P19,3)</f>
        <v> </v>
      </c>
      <c r="T20" s="1">
        <v>3</v>
      </c>
    </row>
    <row r="21" spans="2:20" ht="19.5" customHeight="1">
      <c r="B21" s="51">
        <f>IF(SUM($D$18:$D$25)=0,"",IF(AND(D20=D21,E20=E21,F20=F21),"","4."))</f>
      </c>
      <c r="C21" s="47" t="str">
        <f t="shared" si="23"/>
        <v>Spieler 4</v>
      </c>
      <c r="D21" s="48">
        <f t="shared" si="24"/>
        <v>0</v>
      </c>
      <c r="E21" s="170">
        <f t="shared" si="25"/>
        <v>0</v>
      </c>
      <c r="F21" s="171">
        <f t="shared" si="26"/>
        <v>0</v>
      </c>
      <c r="I21" s="51">
        <f t="shared" si="27"/>
        <v>4</v>
      </c>
      <c r="J21" s="47" t="str">
        <f>Eingabe!$C$9</f>
        <v>Spieler 4</v>
      </c>
      <c r="K21" s="48">
        <f>IF(COUNT('Kreuztabelle 8'!D22:'Kreuztabelle 8'!K22)&gt;0,COUNT('Kreuztabelle 8'!D22:'Kreuztabelle 8'!K22),0)</f>
        <v>0</v>
      </c>
      <c r="L21" s="170">
        <f t="shared" si="28"/>
        <v>0</v>
      </c>
      <c r="M21" s="171">
        <f t="shared" si="22"/>
        <v>0</v>
      </c>
      <c r="N21">
        <f>IF(M21=" ",0.1,M21*10000+L21+0.07)</f>
        <v>0.07</v>
      </c>
      <c r="O21" s="70">
        <f t="shared" si="29"/>
        <v>0</v>
      </c>
      <c r="P21" s="70" t="str">
        <f>IF(AND(D20=D21,E20=E21,F20=F21),P20,4)</f>
        <v> </v>
      </c>
      <c r="T21" s="1">
        <v>4</v>
      </c>
    </row>
    <row r="22" spans="2:20" ht="19.5" customHeight="1">
      <c r="B22" s="51">
        <f>IF(SUM($D$18:$D$25)=0,"",IF(AND(D21=D22,E21=E22,F21=F22),"","5."))</f>
      </c>
      <c r="C22" s="47" t="str">
        <f t="shared" si="23"/>
        <v>Spieler 5</v>
      </c>
      <c r="D22" s="48">
        <f t="shared" si="24"/>
        <v>0</v>
      </c>
      <c r="E22" s="170">
        <f t="shared" si="25"/>
        <v>0</v>
      </c>
      <c r="F22" s="171">
        <f t="shared" si="26"/>
        <v>0</v>
      </c>
      <c r="I22" s="51">
        <f t="shared" si="27"/>
        <v>5</v>
      </c>
      <c r="J22" s="47" t="str">
        <f>Eingabe!$C$10</f>
        <v>Spieler 5</v>
      </c>
      <c r="K22" s="48">
        <f>IF(COUNT('Kreuztabelle 8'!D23:'Kreuztabelle 8'!K23)&gt;0,COUNT('Kreuztabelle 8'!D23:'Kreuztabelle 8'!K23),0)</f>
        <v>0</v>
      </c>
      <c r="L22" s="170">
        <f t="shared" si="28"/>
        <v>0</v>
      </c>
      <c r="M22" s="171">
        <f t="shared" si="22"/>
        <v>0</v>
      </c>
      <c r="N22">
        <f>IF(M22=" ",0.1,M22*10000+L22+0.06)</f>
        <v>0.06</v>
      </c>
      <c r="O22" s="70">
        <f t="shared" si="29"/>
        <v>0</v>
      </c>
      <c r="P22" s="70" t="str">
        <f>IF(AND(D21=D22,E21=E22,F21=F22),P21,5)</f>
        <v> </v>
      </c>
      <c r="T22" s="1">
        <v>5</v>
      </c>
    </row>
    <row r="23" spans="2:20" ht="19.5" customHeight="1">
      <c r="B23" s="51">
        <f>IF(SUM($D$18:$D$25)=0,"",IF(AND(D22=D23,E22=E23,F22=F23),"","6."))</f>
      </c>
      <c r="C23" s="47" t="str">
        <f t="shared" si="23"/>
        <v>Spieler 6</v>
      </c>
      <c r="D23" s="48">
        <f t="shared" si="24"/>
        <v>0</v>
      </c>
      <c r="E23" s="170">
        <f t="shared" si="25"/>
        <v>0</v>
      </c>
      <c r="F23" s="171">
        <f t="shared" si="26"/>
        <v>0</v>
      </c>
      <c r="I23" s="51">
        <f t="shared" si="27"/>
        <v>6</v>
      </c>
      <c r="J23" s="47" t="str">
        <f>Eingabe!$C$11</f>
        <v>Spieler 6</v>
      </c>
      <c r="K23" s="48">
        <f>IF(COUNT('Kreuztabelle 8'!D24:'Kreuztabelle 8'!K24)&gt;0,COUNT('Kreuztabelle 8'!D24:'Kreuztabelle 8'!K24),0)</f>
        <v>0</v>
      </c>
      <c r="L23" s="170">
        <f t="shared" si="28"/>
        <v>0</v>
      </c>
      <c r="M23" s="171">
        <f t="shared" si="22"/>
        <v>0</v>
      </c>
      <c r="N23">
        <f>IF(M23=" ",0.1,M23*10000+L23+0.05)</f>
        <v>0.05</v>
      </c>
      <c r="O23" s="70">
        <f t="shared" si="29"/>
        <v>0</v>
      </c>
      <c r="P23" s="70" t="str">
        <f>IF(AND(D22=D23,E22=E23,F22=F23),P22,6)</f>
        <v> </v>
      </c>
      <c r="T23" s="1">
        <v>6</v>
      </c>
    </row>
    <row r="24" spans="2:20" ht="19.5" customHeight="1">
      <c r="B24" s="51">
        <f>IF(SUM($D$18:$D$25)=0,"",IF(AND(D23=D24,E23=E24,F23=F24),"","7."))</f>
      </c>
      <c r="C24" s="47" t="str">
        <f t="shared" si="23"/>
        <v>Spieler 7</v>
      </c>
      <c r="D24" s="48">
        <f t="shared" si="24"/>
        <v>0</v>
      </c>
      <c r="E24" s="170">
        <f t="shared" si="25"/>
        <v>0</v>
      </c>
      <c r="F24" s="171">
        <f t="shared" si="26"/>
        <v>0</v>
      </c>
      <c r="I24" s="51">
        <f t="shared" si="27"/>
        <v>7</v>
      </c>
      <c r="J24" s="47" t="str">
        <f>Eingabe!$C$12</f>
        <v>Spieler 7</v>
      </c>
      <c r="K24" s="48">
        <f>IF(COUNT('Kreuztabelle 8'!D25:'Kreuztabelle 8'!K25)&gt;0,COUNT('Kreuztabelle 8'!D25:'Kreuztabelle 8'!K25),0)</f>
        <v>0</v>
      </c>
      <c r="L24" s="170">
        <f t="shared" si="28"/>
        <v>0</v>
      </c>
      <c r="M24" s="171">
        <f t="shared" si="22"/>
        <v>0</v>
      </c>
      <c r="N24">
        <f>IF(M24=" ",0.1,M24*10000+L24+0.04)</f>
        <v>0.04</v>
      </c>
      <c r="O24" s="70">
        <f t="shared" si="29"/>
        <v>0</v>
      </c>
      <c r="P24" s="70" t="str">
        <f>IF(AND(D23=D24,E23=E24,F23=F24),P23,7)</f>
        <v> </v>
      </c>
      <c r="T24" s="1">
        <v>7</v>
      </c>
    </row>
    <row r="25" spans="2:20" ht="19.5" customHeight="1" thickBot="1">
      <c r="B25" s="52">
        <f>IF(SUM($D$18:$D$25)=0,"",IF(AND(D24=D25,E24=E25,F24=F25),"","8."))</f>
      </c>
      <c r="C25" s="49" t="str">
        <f t="shared" si="23"/>
        <v>Spieler 8 / spielfrei</v>
      </c>
      <c r="D25" s="50">
        <f t="shared" si="24"/>
        <v>0</v>
      </c>
      <c r="E25" s="172">
        <f t="shared" si="25"/>
        <v>0</v>
      </c>
      <c r="F25" s="173">
        <f t="shared" si="26"/>
        <v>0</v>
      </c>
      <c r="I25" s="52">
        <f t="shared" si="27"/>
        <v>8</v>
      </c>
      <c r="J25" s="49" t="str">
        <f>Eingabe!$C$13</f>
        <v>Spieler 8 / spielfrei</v>
      </c>
      <c r="K25" s="50">
        <f>IF(COUNT('Kreuztabelle 8'!D26:'Kreuztabelle 8'!K26)&gt;0,COUNT('Kreuztabelle 8'!D26:'Kreuztabelle 8'!K26),0)</f>
        <v>0</v>
      </c>
      <c r="L25" s="172">
        <f t="shared" si="28"/>
        <v>0</v>
      </c>
      <c r="M25" s="173">
        <f t="shared" si="22"/>
        <v>0</v>
      </c>
      <c r="N25">
        <f>IF(M25=" ",0.1,M25*10000+L25+0.03)</f>
        <v>0.03</v>
      </c>
      <c r="O25" s="70">
        <f t="shared" si="29"/>
        <v>0</v>
      </c>
      <c r="P25" s="70" t="str">
        <f>IF(AND(D24=D25,E24=E25,F24=F25),P24,8)</f>
        <v> </v>
      </c>
      <c r="T25" s="1">
        <v>8</v>
      </c>
    </row>
    <row r="26" ht="19.5" customHeight="1"/>
  </sheetData>
  <mergeCells count="4">
    <mergeCell ref="AD2:AJ2"/>
    <mergeCell ref="AK2:AQ2"/>
    <mergeCell ref="AY2:BE2"/>
    <mergeCell ref="AR2:AX2"/>
  </mergeCells>
  <conditionalFormatting sqref="C12:F12">
    <cfRule type="expression" priority="1" dxfId="0" stopIfTrue="1">
      <formula>$C$12="spielfrei"</formula>
    </cfRule>
  </conditionalFormatting>
  <conditionalFormatting sqref="C4 C17">
    <cfRule type="expression" priority="2" dxfId="0" stopIfTrue="1">
      <formula>$C$4="Stand nach der 0. Runde"</formula>
    </cfRule>
  </conditionalFormatting>
  <conditionalFormatting sqref="B12 B25">
    <cfRule type="expression" priority="3" dxfId="0" stopIfTrue="1">
      <formula>$C$4="spielfrei"</formula>
    </cfRule>
  </conditionalFormatting>
  <conditionalFormatting sqref="F18:F25">
    <cfRule type="cellIs" priority="4" dxfId="2" operator="greaterThan" stopIfTrue="1">
      <formula>0</formula>
    </cfRule>
    <cfRule type="cellIs" priority="5" dxfId="3" operator="lessThan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Einstein</cp:lastModifiedBy>
  <cp:lastPrinted>2013-01-12T07:45:49Z</cp:lastPrinted>
  <dcterms:created xsi:type="dcterms:W3CDTF">2008-06-09T09:37:58Z</dcterms:created>
  <dcterms:modified xsi:type="dcterms:W3CDTF">2020-02-08T05:06:08Z</dcterms:modified>
  <cp:category/>
  <cp:version/>
  <cp:contentType/>
  <cp:contentStatus/>
</cp:coreProperties>
</file>